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5.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theme/themeOverride1.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codeName="{28389E77-7640-9E18-AD5C-E98E2F4A8B83}"/>
  <workbookPr updateLinks="never" codeName="ThisWorkbook" hidePivotFieldList="1" defaultThemeVersion="124226"/>
  <mc:AlternateContent xmlns:mc="http://schemas.openxmlformats.org/markup-compatibility/2006">
    <mc:Choice Requires="x15">
      <x15ac:absPath xmlns:x15ac="http://schemas.microsoft.com/office/spreadsheetml/2010/11/ac" url="C:\Users\bali01\AppData\Local\Microsoft\Windows\INetCache\Content.Outlook\SQG49RKH\"/>
    </mc:Choice>
  </mc:AlternateContent>
  <xr:revisionPtr revIDLastSave="295" documentId="8_{80261DB8-C5F4-4DEC-82D0-513B527DB516}" xr6:coauthVersionLast="47" xr6:coauthVersionMax="47" xr10:uidLastSave="{F63F8C0C-08B4-49F4-B791-A2E0A7F9FB14}"/>
  <bookViews>
    <workbookView xWindow="-108" yWindow="-108" windowWidth="23256" windowHeight="13896" tabRatio="773" xr2:uid="{00000000-000D-0000-FFFF-FFFF00000000}"/>
  </bookViews>
  <sheets>
    <sheet name="FRData" sheetId="5" r:id="rId1"/>
    <sheet name="LINData" sheetId="13" r:id="rId2"/>
    <sheet name="Route Creator" sheetId="15" r:id="rId3"/>
    <sheet name="Vib Analyzer Data" sheetId="23" r:id="rId4"/>
    <sheet name="FRCert" sheetId="7" r:id="rId5"/>
    <sheet name="LINCert" sheetId="8" r:id="rId6"/>
    <sheet name="SLINCert" sheetId="14" r:id="rId7"/>
    <sheet name="FRRaw" sheetId="10" state="hidden" r:id="rId8"/>
    <sheet name="LINRaw" sheetId="11" state="hidden" r:id="rId9"/>
    <sheet name="Vib Analyzer Cert" sheetId="21" state="hidden" r:id="rId10"/>
    <sheet name="VersionInfo" sheetId="17" state="hidden" r:id="rId11"/>
    <sheet name="RouteRaw" sheetId="16" state="hidden" r:id="rId12"/>
    <sheet name="Linfit Worksheet" sheetId="6" state="hidden" r:id="rId13"/>
  </sheets>
  <functionGroups builtInGroupCount="19"/>
  <externalReferences>
    <externalReference r:id="rId14"/>
    <externalReference r:id="rId15"/>
  </externalReferences>
  <definedNames>
    <definedName name="_xlnm._FilterDatabase" localSheetId="2" hidden="1">'Route Creator'!$A$13:$F$44</definedName>
    <definedName name="_xleta.FREQUENCY" hidden="1" xlm="1">#NAME?</definedName>
    <definedName name="Acceleration">'Linfit Worksheet'!$W$1:$W$4</definedName>
    <definedName name="CalibrationDate">[1]Data!$A$22</definedName>
    <definedName name="CalibrationDueDate">[1]Data!$B$22</definedName>
    <definedName name="CalibrationID">[1]Data!$A$39</definedName>
    <definedName name="Customer">[1]Data!$A$38</definedName>
    <definedName name="CustomerAddress1">[1]Data!$C$38</definedName>
    <definedName name="CustomerAddress2">[1]Data!$D$38</definedName>
    <definedName name="CustomerAddress3">[1]Data!$E$38</definedName>
    <definedName name="Description">[1]Data!$A$7</definedName>
    <definedName name="Displacement">'Linfit Worksheet'!$Y$1:$Y$4</definedName>
    <definedName name="DLinMeasureRangeUnit">'Linfit Worksheet'!$AD$2</definedName>
    <definedName name="Humidity">[1]Data!$A$31</definedName>
    <definedName name="HumidityUnits">[1]Data!$B$31</definedName>
    <definedName name="IDNumber">[1]Data!$A$6</definedName>
    <definedName name="LinearityAsFound">[1]Data!$C$28</definedName>
    <definedName name="LinearityAsLeft">[1]Data!$C$29</definedName>
    <definedName name="LinearityAxis">[1]Data!$B$24</definedName>
    <definedName name="LinearityCalibrationMethod">[1]Data!$B$41</definedName>
    <definedName name="LinearityMeasured">[1]Data!$A$46</definedName>
    <definedName name="LinearityMeasuredUnits">[1]Data!$B$46</definedName>
    <definedName name="LinearityNotes">[1]Data!$A$20</definedName>
    <definedName name="LinearityProcedureNote">[1]Data!$B$43</definedName>
    <definedName name="LinearityReproductionNote">[1]Data!$B$42</definedName>
    <definedName name="LinearitySensitivity">[1]Data!$A$45</definedName>
    <definedName name="LinearitySensitivityUnits">[1]Data!$B$45</definedName>
    <definedName name="LinearityStationNote">[1]Data!$B$44</definedName>
    <definedName name="LinearityTechnician">[1]Data!$B$18</definedName>
    <definedName name="LinearityTestFreq">[1]Data!$A$47</definedName>
    <definedName name="LinearityTestFreqUnits">[1]Data!$B$47</definedName>
    <definedName name="LinearityTitle">[1]Data!$B$2</definedName>
    <definedName name="LinearityTraceabilityNote">[1]Data!$B$40</definedName>
    <definedName name="Manufacturer">[1]Data!$A$3</definedName>
    <definedName name="MeasurementRange">[1]Data!$A$33</definedName>
    <definedName name="MeasurementRangeUnits">[1]Data!$B$33</definedName>
    <definedName name="MeasurementResolution">[1]Data!$A$34</definedName>
    <definedName name="MeasurementResolutionUnits">[1]Data!$B$34</definedName>
    <definedName name="MinAmplitude">'Vib Analyzer Data'!$B$38</definedName>
    <definedName name="MinAmpXaxis">'Vib Analyzer Data'!$B$38</definedName>
    <definedName name="MinfreqXaxis">'Vib Analyzer Data'!$B$39</definedName>
    <definedName name="Model">[1]Data!$A$4</definedName>
    <definedName name="_xlnm.Print_Area" localSheetId="4">FRCert!$A$1:$L$58</definedName>
    <definedName name="_xlnm.Print_Area" localSheetId="5">LINCert!$A$1:$AC$58</definedName>
    <definedName name="_xlnm.Print_Area" localSheetId="2">'Route Creator'!$B$8</definedName>
    <definedName name="_xlnm.Print_Area" localSheetId="6">SLINCert!$A$1:$AC$55</definedName>
    <definedName name="_xlnm.Print_Area" localSheetId="9">'Vib Analyzer Cert'!$A$1:$O$49</definedName>
    <definedName name="pvc_route" comment="This file name will be embedded to &quot;_route.cvs&quot;">'Route Creator'!$B$8</definedName>
    <definedName name="PVCFWVers">'Linfit Worksheet'!$AF$1:$AF$2</definedName>
    <definedName name="ResonantFrequency">[1]Data!$A$16</definedName>
    <definedName name="ResonantFrequencyUnits">[1]Data!$B$16</definedName>
    <definedName name="RouteType">'Linfit Worksheet'!$AE$1:$AE$2</definedName>
    <definedName name="SensitivityPrecision">[1]Data!$C$1</definedName>
    <definedName name="SensUnits">'Linfit Worksheet'!$AB$1:$AB$10</definedName>
    <definedName name="Serial">[1]Data!$A$5</definedName>
    <definedName name="SLinMeasureRangeUnit">'Linfit Worksheet'!$AD$1</definedName>
    <definedName name="SystemUnits">[1]Data!$A$48</definedName>
    <definedName name="TablePrecision">[1]Data!$E$1</definedName>
    <definedName name="TemperatureEng">[1]Data!$C$30</definedName>
    <definedName name="TemperatureEngUnits">[1]Data!$D$30</definedName>
    <definedName name="TemperatureMet">[1]Data!$A$30</definedName>
    <definedName name="TemperatureMetUnits">[1]Data!$B$30</definedName>
    <definedName name="TemperatureRangeEngMax">[1]Data!$B$36</definedName>
    <definedName name="TemperatureRangeEngMin">[1]Data!$A$36</definedName>
    <definedName name="TemperatureRangeMetMax">[1]Data!$B$35</definedName>
    <definedName name="TemperatureRangeMetMin">[1]Data!$A$35</definedName>
    <definedName name="TypeOfMotion">'Linfit Worksheet'!$V$1:$V$3</definedName>
    <definedName name="Velocity">'Linfit Worksheet'!$X$1:$X$4</definedName>
    <definedName name="VibeUnits">'Linfit Worksheet'!$AA$1:$AA$10</definedName>
    <definedName name="VorI">'Linfit Worksheet'!$Z$1:$Z$4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0" i="6" l="1"/>
  <c r="B9" i="6"/>
  <c r="B4" i="6"/>
  <c r="E5" i="8"/>
  <c r="C14" i="5" l="1"/>
  <c r="E28" i="14"/>
  <c r="J6" i="6"/>
  <c r="J4" i="6"/>
  <c r="V6" i="14"/>
  <c r="E27" i="8"/>
  <c r="V6" i="8"/>
  <c r="B27" i="7"/>
  <c r="I9" i="7"/>
  <c r="E30" i="7" l="1"/>
  <c r="L30" i="8"/>
  <c r="D26" i="16" l="1"/>
  <c r="D23" i="16" l="1"/>
  <c r="D18" i="16"/>
  <c r="D25" i="16" l="1"/>
  <c r="D20" i="16"/>
  <c r="D44" i="21"/>
  <c r="D45" i="21"/>
  <c r="D46" i="21"/>
  <c r="D47" i="21"/>
  <c r="D48" i="21"/>
  <c r="D35" i="21"/>
  <c r="D36" i="21"/>
  <c r="D37" i="21"/>
  <c r="D38" i="21"/>
  <c r="D39" i="21"/>
  <c r="D40" i="21"/>
  <c r="D41" i="21"/>
  <c r="D42" i="21"/>
  <c r="H8" i="21"/>
  <c r="G36" i="23"/>
  <c r="H36" i="23"/>
  <c r="G37" i="23"/>
  <c r="H37" i="23"/>
  <c r="G38" i="23"/>
  <c r="H38" i="23"/>
  <c r="G39" i="23"/>
  <c r="H39" i="23"/>
  <c r="G40" i="23"/>
  <c r="H40" i="23"/>
  <c r="G27" i="23" l="1"/>
  <c r="H27" i="23"/>
  <c r="G28" i="23"/>
  <c r="H28" i="23"/>
  <c r="G29" i="23"/>
  <c r="H29" i="23"/>
  <c r="G30" i="23"/>
  <c r="H30" i="23"/>
  <c r="G31" i="23"/>
  <c r="H31" i="23"/>
  <c r="G32" i="23"/>
  <c r="H32" i="23"/>
  <c r="G33" i="23"/>
  <c r="H33" i="23"/>
  <c r="G34" i="23"/>
  <c r="H34" i="23"/>
  <c r="G35" i="23"/>
  <c r="H35" i="23"/>
  <c r="H26" i="23"/>
  <c r="G26" i="23"/>
  <c r="D21" i="16" l="1"/>
  <c r="D43" i="21"/>
  <c r="D34" i="21"/>
  <c r="C33" i="21" l="1"/>
  <c r="B33" i="21" l="1"/>
  <c r="H5" i="21" l="1"/>
  <c r="D24" i="16" l="1"/>
  <c r="D19" i="16"/>
  <c r="I12" i="21" l="1"/>
  <c r="J16" i="21" l="1"/>
  <c r="J15" i="21"/>
  <c r="I15" i="21"/>
  <c r="I16" i="21"/>
  <c r="H16" i="21"/>
  <c r="H15" i="21"/>
  <c r="H11" i="21"/>
  <c r="H6" i="21"/>
  <c r="H7" i="21"/>
  <c r="H9" i="21"/>
  <c r="H10" i="21"/>
  <c r="H12" i="21"/>
  <c r="C6" i="21"/>
  <c r="C7" i="21"/>
  <c r="C8" i="21"/>
  <c r="C9" i="21"/>
  <c r="C10" i="21"/>
  <c r="C5" i="21"/>
  <c r="L17" i="23" l="1"/>
  <c r="L16" i="21" s="1"/>
  <c r="F16" i="21" l="1"/>
  <c r="F17" i="21"/>
  <c r="F15" i="21"/>
  <c r="D16" i="21"/>
  <c r="D17" i="21"/>
  <c r="D15" i="21"/>
  <c r="C16" i="21"/>
  <c r="C17" i="21"/>
  <c r="C15" i="21"/>
  <c r="L16" i="23" l="1"/>
  <c r="L15" i="21" s="1"/>
  <c r="K36" i="23" l="1"/>
  <c r="AB6" i="8" l="1"/>
  <c r="J24" i="13" l="1"/>
  <c r="J22" i="13"/>
  <c r="J21" i="13"/>
  <c r="J20" i="13"/>
  <c r="J19" i="13"/>
  <c r="J18" i="13"/>
  <c r="J17" i="13"/>
  <c r="J16" i="13"/>
  <c r="J15" i="13"/>
  <c r="K25" i="13"/>
  <c r="K26" i="13"/>
  <c r="K27" i="13"/>
  <c r="K28" i="13"/>
  <c r="K29" i="13"/>
  <c r="K30" i="13"/>
  <c r="K31" i="13"/>
  <c r="K32" i="13"/>
  <c r="K33" i="13"/>
  <c r="K34" i="13"/>
  <c r="K35" i="13"/>
  <c r="K36" i="13"/>
  <c r="K37" i="13"/>
  <c r="K38" i="13"/>
  <c r="K39" i="13"/>
  <c r="AC1" i="6" l="1"/>
  <c r="AD1" i="6" s="1"/>
  <c r="J13" i="13" l="1"/>
  <c r="AB6" i="14"/>
  <c r="AB5" i="14"/>
  <c r="E6" i="8"/>
  <c r="O36" i="8"/>
  <c r="F36" i="7"/>
  <c r="B11" i="13"/>
  <c r="D9" i="5" l="1"/>
  <c r="Y55" i="8" l="1"/>
  <c r="C12" i="5" l="1"/>
  <c r="C13" i="5" l="1"/>
  <c r="C35" i="5"/>
  <c r="C36" i="5"/>
  <c r="C37" i="5"/>
  <c r="C38" i="5"/>
  <c r="C39" i="5"/>
  <c r="C40" i="5"/>
  <c r="C41" i="5"/>
  <c r="C42" i="5"/>
  <c r="C15" i="5"/>
  <c r="C16" i="5"/>
  <c r="C17" i="5"/>
  <c r="C18" i="5"/>
  <c r="C19" i="5"/>
  <c r="C20" i="5"/>
  <c r="C21" i="5"/>
  <c r="C22" i="5"/>
  <c r="C23" i="5"/>
  <c r="C24" i="5"/>
  <c r="C25" i="5"/>
  <c r="C26" i="5"/>
  <c r="C27" i="5"/>
  <c r="C28" i="5"/>
  <c r="C29" i="5"/>
  <c r="C30" i="5"/>
  <c r="C31" i="5"/>
  <c r="C32" i="5"/>
  <c r="C33" i="5"/>
  <c r="C34" i="5"/>
  <c r="C5" i="7" l="1"/>
  <c r="H5" i="7"/>
  <c r="R8" i="6" l="1"/>
  <c r="L4" i="6" s="1"/>
  <c r="R9" i="6"/>
  <c r="L5" i="6" s="1"/>
  <c r="R10" i="6"/>
  <c r="L6" i="6" s="1"/>
  <c r="R11" i="6"/>
  <c r="L7" i="6" s="1"/>
  <c r="R12" i="6"/>
  <c r="L8" i="6" s="1"/>
  <c r="R13" i="6"/>
  <c r="L9" i="6" s="1"/>
  <c r="R14" i="6"/>
  <c r="L10" i="6" s="1"/>
  <c r="R15" i="6"/>
  <c r="L11" i="6" s="1"/>
  <c r="R16" i="6"/>
  <c r="L12" i="6" s="1"/>
  <c r="R17" i="6"/>
  <c r="L13" i="6" s="1"/>
  <c r="R18" i="6"/>
  <c r="L14" i="6" s="1"/>
  <c r="R19" i="6"/>
  <c r="L15" i="6" s="1"/>
  <c r="R20" i="6"/>
  <c r="L16" i="6" s="1"/>
  <c r="R21" i="6"/>
  <c r="L17" i="6" s="1"/>
  <c r="R22" i="6"/>
  <c r="L18" i="6" s="1"/>
  <c r="R23" i="6"/>
  <c r="L19" i="6" s="1"/>
  <c r="R24" i="6"/>
  <c r="L20" i="6" s="1"/>
  <c r="R25" i="6"/>
  <c r="L21" i="6" s="1"/>
  <c r="R26" i="6"/>
  <c r="L22" i="6" s="1"/>
  <c r="R27" i="6"/>
  <c r="L23" i="6" s="1"/>
  <c r="R28" i="6"/>
  <c r="L24" i="6" s="1"/>
  <c r="R29" i="6"/>
  <c r="L25" i="6" s="1"/>
  <c r="R30" i="6"/>
  <c r="L26" i="6" s="1"/>
  <c r="R31" i="6"/>
  <c r="L27" i="6" s="1"/>
  <c r="R32" i="6"/>
  <c r="Q8" i="6"/>
  <c r="K4" i="6" s="1"/>
  <c r="Q9" i="6"/>
  <c r="K5" i="6" s="1"/>
  <c r="Q10" i="6"/>
  <c r="Q11" i="6"/>
  <c r="Q12" i="6"/>
  <c r="K8" i="6" s="1"/>
  <c r="Q13" i="6"/>
  <c r="S13" i="6" s="1"/>
  <c r="M9" i="6" s="1"/>
  <c r="Q14" i="6"/>
  <c r="K10" i="6" s="1"/>
  <c r="Q15" i="6"/>
  <c r="S15" i="6" s="1"/>
  <c r="M11" i="6" s="1"/>
  <c r="Q16" i="6"/>
  <c r="K12" i="6" s="1"/>
  <c r="Q17" i="6"/>
  <c r="Q18" i="6"/>
  <c r="K14" i="6" s="1"/>
  <c r="Q19" i="6"/>
  <c r="S19" i="6" s="1"/>
  <c r="M15" i="6" s="1"/>
  <c r="Q20" i="6"/>
  <c r="K16" i="6" s="1"/>
  <c r="Q21" i="6"/>
  <c r="Q22" i="6"/>
  <c r="K18" i="6" s="1"/>
  <c r="Q23" i="6"/>
  <c r="S23" i="6" s="1"/>
  <c r="M19" i="6" s="1"/>
  <c r="Q24" i="6"/>
  <c r="K20" i="6" s="1"/>
  <c r="Q25" i="6"/>
  <c r="Q26" i="6"/>
  <c r="K22" i="6" s="1"/>
  <c r="Q27" i="6"/>
  <c r="S27" i="6" s="1"/>
  <c r="M23" i="6" s="1"/>
  <c r="Q28" i="6"/>
  <c r="K24" i="6" s="1"/>
  <c r="Q29" i="6"/>
  <c r="Q30" i="6"/>
  <c r="K26" i="6" s="1"/>
  <c r="Q31" i="6"/>
  <c r="S31" i="6" s="1"/>
  <c r="M27" i="6" s="1"/>
  <c r="Q32" i="6"/>
  <c r="R7" i="6"/>
  <c r="L3" i="6" s="1"/>
  <c r="Q7" i="6"/>
  <c r="K3" i="6" l="1"/>
  <c r="B30" i="14" s="1"/>
  <c r="S26" i="6"/>
  <c r="M22" i="6" s="1"/>
  <c r="S30" i="6"/>
  <c r="M26" i="6" s="1"/>
  <c r="S14" i="6"/>
  <c r="S22" i="6"/>
  <c r="M18" i="6" s="1"/>
  <c r="S18" i="6"/>
  <c r="M14" i="6" s="1"/>
  <c r="S29" i="6"/>
  <c r="M25" i="6" s="1"/>
  <c r="S25" i="6"/>
  <c r="M21" i="6" s="1"/>
  <c r="S21" i="6"/>
  <c r="M17" i="6" s="1"/>
  <c r="S17" i="6"/>
  <c r="M13" i="6" s="1"/>
  <c r="T31" i="6"/>
  <c r="N27" i="6" s="1"/>
  <c r="T27" i="6"/>
  <c r="N23" i="6" s="1"/>
  <c r="T23" i="6"/>
  <c r="N19" i="6" s="1"/>
  <c r="T19" i="6"/>
  <c r="N15" i="6" s="1"/>
  <c r="T15" i="6"/>
  <c r="N11" i="6" s="1"/>
  <c r="K22" i="13" s="1"/>
  <c r="K27" i="6"/>
  <c r="K25" i="6"/>
  <c r="K23" i="6"/>
  <c r="K21" i="6"/>
  <c r="K19" i="6"/>
  <c r="K17" i="6"/>
  <c r="K15" i="6"/>
  <c r="K13" i="6"/>
  <c r="K11" i="6"/>
  <c r="K7" i="6"/>
  <c r="S32" i="6"/>
  <c r="T32" i="6" s="1"/>
  <c r="S28" i="6"/>
  <c r="M24" i="6" s="1"/>
  <c r="S24" i="6"/>
  <c r="M20" i="6" s="1"/>
  <c r="S20" i="6"/>
  <c r="M16" i="6" s="1"/>
  <c r="S16" i="6"/>
  <c r="M12" i="6" s="1"/>
  <c r="T26" i="6"/>
  <c r="N22" i="6" s="1"/>
  <c r="K9" i="6"/>
  <c r="K6" i="6"/>
  <c r="T13" i="6"/>
  <c r="N9" i="6" s="1"/>
  <c r="K20" i="13" s="1"/>
  <c r="S12" i="6"/>
  <c r="S10" i="6"/>
  <c r="M6" i="6" s="1"/>
  <c r="S9" i="6"/>
  <c r="M5" i="6" s="1"/>
  <c r="S7" i="6"/>
  <c r="M3" i="6" s="1"/>
  <c r="S8" i="6"/>
  <c r="M4" i="6" s="1"/>
  <c r="S11" i="6"/>
  <c r="M7" i="6" s="1"/>
  <c r="H8" i="7"/>
  <c r="E8" i="7"/>
  <c r="E7" i="7"/>
  <c r="G8" i="7"/>
  <c r="T30" i="6" l="1"/>
  <c r="N26" i="6" s="1"/>
  <c r="T20" i="6"/>
  <c r="N16" i="6" s="1"/>
  <c r="T22" i="6"/>
  <c r="N18" i="6" s="1"/>
  <c r="T18" i="6"/>
  <c r="N14" i="6" s="1"/>
  <c r="T28" i="6"/>
  <c r="N24" i="6" s="1"/>
  <c r="T24" i="6"/>
  <c r="N20" i="6" s="1"/>
  <c r="T21" i="6"/>
  <c r="N17" i="6" s="1"/>
  <c r="T25" i="6"/>
  <c r="N21" i="6" s="1"/>
  <c r="T29" i="6"/>
  <c r="N25" i="6" s="1"/>
  <c r="T16" i="6"/>
  <c r="N12" i="6" s="1"/>
  <c r="K23" i="13" s="1"/>
  <c r="T17" i="6"/>
  <c r="N13" i="6" s="1"/>
  <c r="K24" i="13" s="1"/>
  <c r="T7" i="6"/>
  <c r="N3" i="6" s="1"/>
  <c r="T14" i="6"/>
  <c r="N10" i="6" s="1"/>
  <c r="K21" i="13" s="1"/>
  <c r="M10" i="6"/>
  <c r="T12" i="6"/>
  <c r="N8" i="6" s="1"/>
  <c r="K19" i="13" s="1"/>
  <c r="M8" i="6"/>
  <c r="T11" i="6"/>
  <c r="N7" i="6" s="1"/>
  <c r="K18" i="13" s="1"/>
  <c r="T9" i="6"/>
  <c r="N5" i="6" s="1"/>
  <c r="K16" i="13" s="1"/>
  <c r="T10" i="6"/>
  <c r="N6" i="6" s="1"/>
  <c r="K17" i="13" s="1"/>
  <c r="T8" i="6"/>
  <c r="N4" i="6" s="1"/>
  <c r="K15" i="13" s="1"/>
  <c r="C5" i="15"/>
  <c r="D1" i="17"/>
  <c r="A13" i="5" l="1"/>
  <c r="C11" i="13"/>
  <c r="R7" i="8" s="1"/>
  <c r="Y56" i="8"/>
  <c r="K56" i="7"/>
  <c r="K55" i="7"/>
  <c r="J23" i="13"/>
  <c r="J25" i="13"/>
  <c r="J26" i="13"/>
  <c r="J27" i="13"/>
  <c r="J28" i="13"/>
  <c r="J29" i="13"/>
  <c r="J30" i="13"/>
  <c r="J31" i="13"/>
  <c r="J32" i="13"/>
  <c r="J33" i="13"/>
  <c r="J34" i="13"/>
  <c r="J35" i="13"/>
  <c r="J36" i="13"/>
  <c r="J37" i="13"/>
  <c r="J38" i="13"/>
  <c r="J39" i="13"/>
  <c r="R6" i="6"/>
  <c r="Q6" i="6"/>
  <c r="E34" i="14"/>
  <c r="H37" i="14"/>
  <c r="H46" i="14"/>
  <c r="C5" i="5"/>
  <c r="D5" i="13"/>
  <c r="B14" i="13"/>
  <c r="D13" i="13"/>
  <c r="C13" i="13" s="1"/>
  <c r="B13" i="13"/>
  <c r="B12" i="5"/>
  <c r="H6" i="7" s="1"/>
  <c r="A12" i="5"/>
  <c r="B9" i="5" s="1"/>
  <c r="D14" i="13"/>
  <c r="B15" i="13"/>
  <c r="D15" i="13"/>
  <c r="B16" i="13"/>
  <c r="D16" i="13"/>
  <c r="B17" i="13"/>
  <c r="D17" i="13"/>
  <c r="B18" i="13"/>
  <c r="D18" i="13"/>
  <c r="B19" i="13"/>
  <c r="D19" i="13"/>
  <c r="B20" i="13"/>
  <c r="D20" i="13"/>
  <c r="B21" i="13"/>
  <c r="D21" i="13"/>
  <c r="B22" i="13"/>
  <c r="D22" i="13"/>
  <c r="B23" i="13"/>
  <c r="D23" i="13"/>
  <c r="B24" i="13"/>
  <c r="D24" i="13"/>
  <c r="B25" i="13"/>
  <c r="D25" i="13"/>
  <c r="B26" i="13"/>
  <c r="D26" i="13"/>
  <c r="B27" i="13"/>
  <c r="D27" i="13"/>
  <c r="B28" i="13"/>
  <c r="D28" i="13"/>
  <c r="B29" i="13"/>
  <c r="D29" i="13"/>
  <c r="B30" i="13"/>
  <c r="D30" i="13"/>
  <c r="B31" i="13"/>
  <c r="D31" i="13"/>
  <c r="B32" i="13"/>
  <c r="D32" i="13"/>
  <c r="B33" i="13"/>
  <c r="D33" i="13"/>
  <c r="B34" i="13"/>
  <c r="D34" i="13"/>
  <c r="B35" i="13"/>
  <c r="H49" i="8" s="1"/>
  <c r="D35" i="13"/>
  <c r="B36" i="13"/>
  <c r="H50" i="8" s="1"/>
  <c r="D36" i="13"/>
  <c r="B37" i="13"/>
  <c r="E51" i="8" s="1"/>
  <c r="D37" i="13"/>
  <c r="B38" i="13"/>
  <c r="C38" i="13" s="1"/>
  <c r="D28" i="6" s="1"/>
  <c r="D38" i="13"/>
  <c r="B39" i="13"/>
  <c r="E53" i="8" s="1"/>
  <c r="D39" i="13"/>
  <c r="B40" i="13"/>
  <c r="C40" i="13" s="1"/>
  <c r="D30" i="6" s="1"/>
  <c r="D40" i="13"/>
  <c r="B41" i="13"/>
  <c r="B55" i="8" s="1"/>
  <c r="D41" i="13"/>
  <c r="B42" i="13"/>
  <c r="B56" i="8" s="1"/>
  <c r="D42" i="13"/>
  <c r="B43" i="13"/>
  <c r="H57" i="8" s="1"/>
  <c r="D43" i="13"/>
  <c r="Y9" i="8"/>
  <c r="V9" i="8"/>
  <c r="K9" i="7"/>
  <c r="O7" i="8"/>
  <c r="C6" i="7"/>
  <c r="A14" i="5"/>
  <c r="B14" i="5"/>
  <c r="A15" i="5"/>
  <c r="B15" i="5"/>
  <c r="A16" i="5"/>
  <c r="B16" i="5"/>
  <c r="A17" i="5"/>
  <c r="B17" i="5"/>
  <c r="A18" i="5"/>
  <c r="B18" i="5"/>
  <c r="A19" i="5"/>
  <c r="B19" i="5"/>
  <c r="A20" i="5"/>
  <c r="B20" i="5"/>
  <c r="A21" i="5"/>
  <c r="B21" i="5"/>
  <c r="A22" i="5"/>
  <c r="B22" i="5"/>
  <c r="A23" i="5"/>
  <c r="B23" i="5"/>
  <c r="A24" i="5"/>
  <c r="B24" i="5"/>
  <c r="A25" i="5"/>
  <c r="B25" i="5"/>
  <c r="A26" i="5"/>
  <c r="B26" i="5"/>
  <c r="A27" i="5"/>
  <c r="B27" i="5"/>
  <c r="A28" i="5"/>
  <c r="B28" i="5"/>
  <c r="A29" i="5"/>
  <c r="B29" i="5"/>
  <c r="A30" i="5"/>
  <c r="B30" i="5"/>
  <c r="A31" i="5"/>
  <c r="B31" i="5"/>
  <c r="A32" i="5"/>
  <c r="B32" i="5"/>
  <c r="A33" i="5"/>
  <c r="B33" i="5"/>
  <c r="A34" i="5"/>
  <c r="B34" i="5"/>
  <c r="A35" i="5"/>
  <c r="B35" i="5"/>
  <c r="A36" i="5"/>
  <c r="B36" i="5"/>
  <c r="A37" i="5"/>
  <c r="D37" i="5" s="1"/>
  <c r="B37" i="5"/>
  <c r="A38" i="5"/>
  <c r="D38" i="5" s="1"/>
  <c r="B38" i="5"/>
  <c r="A39" i="5"/>
  <c r="B39" i="5"/>
  <c r="A40" i="5"/>
  <c r="D40" i="5" s="1"/>
  <c r="B40" i="5"/>
  <c r="A41" i="5"/>
  <c r="B41" i="5"/>
  <c r="A42" i="5"/>
  <c r="B42" i="5"/>
  <c r="B13" i="5"/>
  <c r="H17" i="7"/>
  <c r="B28" i="14"/>
  <c r="L2" i="6"/>
  <c r="S6" i="6" s="1"/>
  <c r="K2" i="6"/>
  <c r="AB7" i="14"/>
  <c r="F19" i="7"/>
  <c r="C34" i="13" l="1"/>
  <c r="D24" i="6" s="1"/>
  <c r="D13" i="5"/>
  <c r="D36" i="5"/>
  <c r="D35" i="5"/>
  <c r="C50" i="7" s="1"/>
  <c r="B27" i="8"/>
  <c r="AC2" i="6"/>
  <c r="AD2" i="6" s="1"/>
  <c r="AB5" i="8" s="1"/>
  <c r="E5" i="7"/>
  <c r="C17" i="13"/>
  <c r="D7" i="6" s="1"/>
  <c r="A7" i="6"/>
  <c r="C30" i="13"/>
  <c r="C20" i="6" s="1"/>
  <c r="C18" i="13"/>
  <c r="C8" i="6" s="1"/>
  <c r="C24" i="13"/>
  <c r="C16" i="13"/>
  <c r="D6" i="6" s="1"/>
  <c r="C14" i="13"/>
  <c r="C4" i="6" s="1"/>
  <c r="C28" i="13"/>
  <c r="D18" i="6" s="1"/>
  <c r="C31" i="13"/>
  <c r="D21" i="6" s="1"/>
  <c r="C27" i="13"/>
  <c r="C17" i="6" s="1"/>
  <c r="G5" i="7"/>
  <c r="H38" i="14"/>
  <c r="B34" i="14"/>
  <c r="C33" i="13"/>
  <c r="C23" i="6" s="1"/>
  <c r="D26" i="5"/>
  <c r="C41" i="7" s="1"/>
  <c r="D18" i="5"/>
  <c r="C33" i="7" s="1"/>
  <c r="D14" i="5"/>
  <c r="D19" i="5"/>
  <c r="C34" i="7" s="1"/>
  <c r="D24" i="5"/>
  <c r="C39" i="7" s="1"/>
  <c r="B47" i="7"/>
  <c r="D32" i="5"/>
  <c r="C47" i="7" s="1"/>
  <c r="D16" i="5"/>
  <c r="C56" i="7"/>
  <c r="D41" i="5"/>
  <c r="B48" i="7"/>
  <c r="D33" i="5"/>
  <c r="D29" i="5"/>
  <c r="C44" i="7" s="1"/>
  <c r="D17" i="5"/>
  <c r="C32" i="7" s="1"/>
  <c r="B57" i="7"/>
  <c r="D42" i="5"/>
  <c r="D34" i="5"/>
  <c r="C49" i="7" s="1"/>
  <c r="B45" i="7"/>
  <c r="D30" i="5"/>
  <c r="C45" i="7" s="1"/>
  <c r="B37" i="7"/>
  <c r="D22" i="5"/>
  <c r="C37" i="7" s="1"/>
  <c r="D28" i="5"/>
  <c r="C43" i="7" s="1"/>
  <c r="D20" i="5"/>
  <c r="C35" i="7" s="1"/>
  <c r="B40" i="7"/>
  <c r="D25" i="5"/>
  <c r="C40" i="7" s="1"/>
  <c r="B36" i="7"/>
  <c r="D21" i="5"/>
  <c r="C36" i="7" s="1"/>
  <c r="B54" i="7"/>
  <c r="D39" i="5"/>
  <c r="B46" i="7"/>
  <c r="D31" i="5"/>
  <c r="C46" i="7" s="1"/>
  <c r="D27" i="5"/>
  <c r="C42" i="7" s="1"/>
  <c r="G6" i="7"/>
  <c r="B38" i="7"/>
  <c r="D23" i="5"/>
  <c r="C38" i="7" s="1"/>
  <c r="D15" i="5"/>
  <c r="B35" i="7"/>
  <c r="B43" i="7"/>
  <c r="C35" i="13"/>
  <c r="D25" i="6" s="1"/>
  <c r="B49" i="8"/>
  <c r="C41" i="13"/>
  <c r="C31" i="6" s="1"/>
  <c r="F31" i="6" s="1"/>
  <c r="E41" i="13" s="1"/>
  <c r="E49" i="8"/>
  <c r="B53" i="8"/>
  <c r="H53" i="8"/>
  <c r="B42" i="14"/>
  <c r="C19" i="13"/>
  <c r="D9" i="6" s="1"/>
  <c r="B49" i="7"/>
  <c r="C39" i="13"/>
  <c r="B54" i="14"/>
  <c r="C43" i="13"/>
  <c r="B44" i="7"/>
  <c r="E55" i="8"/>
  <c r="H55" i="8"/>
  <c r="B50" i="8"/>
  <c r="H45" i="14"/>
  <c r="M2" i="6"/>
  <c r="B42" i="7"/>
  <c r="B41" i="7"/>
  <c r="C48" i="7"/>
  <c r="H54" i="8"/>
  <c r="C42" i="13"/>
  <c r="C32" i="6" s="1"/>
  <c r="F32" i="6" s="1"/>
  <c r="E42" i="13" s="1"/>
  <c r="E53" i="14"/>
  <c r="H56" i="8"/>
  <c r="B44" i="14"/>
  <c r="E44" i="14"/>
  <c r="E30" i="14"/>
  <c r="R5" i="14"/>
  <c r="B54" i="8"/>
  <c r="B39" i="7"/>
  <c r="C36" i="13"/>
  <c r="E57" i="8"/>
  <c r="B32" i="7"/>
  <c r="E54" i="8"/>
  <c r="E36" i="14"/>
  <c r="H52" i="8"/>
  <c r="B52" i="8"/>
  <c r="C25" i="13"/>
  <c r="D15" i="6" s="1"/>
  <c r="E50" i="8"/>
  <c r="C20" i="13"/>
  <c r="D10" i="6" s="1"/>
  <c r="E52" i="8"/>
  <c r="B57" i="8"/>
  <c r="H39" i="14"/>
  <c r="B39" i="14"/>
  <c r="E39" i="14"/>
  <c r="H44" i="14"/>
  <c r="C30" i="6"/>
  <c r="E43" i="14"/>
  <c r="C32" i="13"/>
  <c r="D22" i="6" s="1"/>
  <c r="C22" i="13"/>
  <c r="D12" i="6" s="1"/>
  <c r="R5" i="8"/>
  <c r="E56" i="8"/>
  <c r="F17" i="7"/>
  <c r="C29" i="13"/>
  <c r="D19" i="6" s="1"/>
  <c r="B55" i="7"/>
  <c r="C55" i="7"/>
  <c r="B51" i="7"/>
  <c r="C51" i="7"/>
  <c r="J12" i="6"/>
  <c r="O5" i="14" s="1"/>
  <c r="J8" i="6"/>
  <c r="H51" i="14"/>
  <c r="B51" i="14"/>
  <c r="E51" i="14"/>
  <c r="B56" i="7"/>
  <c r="B52" i="7"/>
  <c r="C52" i="7"/>
  <c r="C23" i="13"/>
  <c r="C13" i="6" s="1"/>
  <c r="C21" i="13"/>
  <c r="C11" i="6" s="1"/>
  <c r="E32" i="14"/>
  <c r="B32" i="14"/>
  <c r="C28" i="6"/>
  <c r="C57" i="7"/>
  <c r="C53" i="7"/>
  <c r="B53" i="7"/>
  <c r="B33" i="7"/>
  <c r="E48" i="8"/>
  <c r="B48" i="8"/>
  <c r="C26" i="13"/>
  <c r="D16" i="6" s="1"/>
  <c r="E37" i="14"/>
  <c r="B37" i="14"/>
  <c r="H34" i="14"/>
  <c r="B31" i="14"/>
  <c r="E31" i="14"/>
  <c r="E46" i="14"/>
  <c r="B46" i="14"/>
  <c r="C54" i="7"/>
  <c r="B50" i="7"/>
  <c r="B34" i="7"/>
  <c r="B51" i="8"/>
  <c r="H51" i="8"/>
  <c r="C37" i="13"/>
  <c r="C15" i="13"/>
  <c r="D5" i="6" s="1"/>
  <c r="E41" i="14"/>
  <c r="H41" i="14"/>
  <c r="B41" i="14"/>
  <c r="C24" i="6" l="1"/>
  <c r="H24" i="6" s="1"/>
  <c r="E31" i="8"/>
  <c r="E47" i="8"/>
  <c r="B45" i="8"/>
  <c r="B31" i="8"/>
  <c r="E45" i="8"/>
  <c r="B28" i="8"/>
  <c r="B32" i="8"/>
  <c r="E32" i="8"/>
  <c r="B33" i="8"/>
  <c r="E41" i="8"/>
  <c r="B46" i="8"/>
  <c r="C7" i="6"/>
  <c r="H7" i="6" s="1"/>
  <c r="D4" i="6"/>
  <c r="C6" i="6"/>
  <c r="H6" i="6" s="1"/>
  <c r="D8" i="6"/>
  <c r="H8" i="6" s="1"/>
  <c r="B30" i="8"/>
  <c r="E30" i="8"/>
  <c r="E28" i="8"/>
  <c r="D20" i="6"/>
  <c r="H20" i="6" s="1"/>
  <c r="D23" i="6"/>
  <c r="H23" i="6" s="1"/>
  <c r="C21" i="6"/>
  <c r="H21" i="6" s="1"/>
  <c r="B39" i="8"/>
  <c r="E40" i="8"/>
  <c r="B43" i="8"/>
  <c r="B41" i="8"/>
  <c r="E33" i="8"/>
  <c r="B47" i="8"/>
  <c r="B42" i="8"/>
  <c r="E37" i="8"/>
  <c r="D17" i="6"/>
  <c r="H17" i="6" s="1"/>
  <c r="E42" i="8"/>
  <c r="E44" i="8"/>
  <c r="C14" i="6"/>
  <c r="E46" i="8"/>
  <c r="E35" i="8"/>
  <c r="D14" i="6"/>
  <c r="B40" i="8"/>
  <c r="B37" i="8"/>
  <c r="E38" i="8"/>
  <c r="E39" i="8"/>
  <c r="E43" i="8"/>
  <c r="E34" i="8"/>
  <c r="B38" i="8"/>
  <c r="C18" i="6"/>
  <c r="B36" i="8"/>
  <c r="B44" i="8"/>
  <c r="B29" i="8"/>
  <c r="B35" i="8"/>
  <c r="E29" i="8"/>
  <c r="B34" i="8"/>
  <c r="E36" i="8"/>
  <c r="C25" i="6"/>
  <c r="G25" i="6" s="1"/>
  <c r="E54" i="14"/>
  <c r="B38" i="14"/>
  <c r="E38" i="14"/>
  <c r="Q3" i="6"/>
  <c r="H54" i="14"/>
  <c r="B53" i="14"/>
  <c r="H53" i="14"/>
  <c r="G31" i="6"/>
  <c r="E31" i="6"/>
  <c r="H32" i="6"/>
  <c r="D31" i="6"/>
  <c r="H31" i="6"/>
  <c r="D32" i="6"/>
  <c r="E32" i="6"/>
  <c r="E42" i="14"/>
  <c r="H42" i="14"/>
  <c r="C9" i="6"/>
  <c r="D29" i="6"/>
  <c r="C29" i="6"/>
  <c r="D33" i="6"/>
  <c r="C33" i="6"/>
  <c r="C10" i="6"/>
  <c r="B45" i="14"/>
  <c r="E45" i="14"/>
  <c r="H49" i="14"/>
  <c r="B49" i="14"/>
  <c r="E49" i="14"/>
  <c r="G32" i="6"/>
  <c r="B36" i="14"/>
  <c r="D26" i="6"/>
  <c r="C26" i="6"/>
  <c r="H36" i="14"/>
  <c r="C12" i="6"/>
  <c r="H52" i="14"/>
  <c r="B52" i="14"/>
  <c r="E52" i="14"/>
  <c r="D13" i="6"/>
  <c r="H13" i="6" s="1"/>
  <c r="C15" i="6"/>
  <c r="H43" i="14"/>
  <c r="B43" i="14"/>
  <c r="G30" i="6"/>
  <c r="F30" i="6"/>
  <c r="E40" i="13" s="1"/>
  <c r="E30" i="6"/>
  <c r="H30" i="6"/>
  <c r="C5" i="6"/>
  <c r="C16" i="6"/>
  <c r="D11" i="6"/>
  <c r="H11" i="6" s="1"/>
  <c r="H47" i="14"/>
  <c r="E47" i="14"/>
  <c r="B47" i="14"/>
  <c r="E35" i="14"/>
  <c r="B35" i="14"/>
  <c r="H35" i="14"/>
  <c r="C19" i="6"/>
  <c r="C22" i="6"/>
  <c r="E40" i="14"/>
  <c r="B40" i="14"/>
  <c r="H40" i="14"/>
  <c r="E33" i="14"/>
  <c r="J10" i="6"/>
  <c r="B33" i="14"/>
  <c r="B48" i="14"/>
  <c r="H48" i="14"/>
  <c r="E48" i="14"/>
  <c r="F28" i="6"/>
  <c r="E38" i="13" s="1"/>
  <c r="G28" i="6"/>
  <c r="E28" i="6"/>
  <c r="H28" i="6"/>
  <c r="C27" i="6"/>
  <c r="D27" i="6"/>
  <c r="E50" i="14"/>
  <c r="B50" i="14"/>
  <c r="H50" i="14"/>
  <c r="B7" i="6" l="1"/>
  <c r="O5" i="8" s="1"/>
  <c r="E24" i="6"/>
  <c r="F24" i="6" s="1"/>
  <c r="H4" i="6"/>
  <c r="F25" i="6"/>
  <c r="E35" i="13" s="1"/>
  <c r="H14" i="6"/>
  <c r="E23" i="6"/>
  <c r="F23" i="6" s="1"/>
  <c r="H18" i="6"/>
  <c r="H25" i="6"/>
  <c r="E25" i="6"/>
  <c r="H33" i="14"/>
  <c r="H31" i="14"/>
  <c r="H32" i="14"/>
  <c r="H10" i="6"/>
  <c r="H5" i="6"/>
  <c r="H12" i="6"/>
  <c r="H9" i="6"/>
  <c r="G29" i="6"/>
  <c r="H29" i="6"/>
  <c r="E29" i="6"/>
  <c r="F29" i="6"/>
  <c r="E39" i="13" s="1"/>
  <c r="H33" i="6"/>
  <c r="F33" i="6"/>
  <c r="E43" i="13" s="1"/>
  <c r="E33" i="6"/>
  <c r="G33" i="6"/>
  <c r="H15" i="6"/>
  <c r="F26" i="6"/>
  <c r="E36" i="13" s="1"/>
  <c r="E26" i="6"/>
  <c r="H26" i="6"/>
  <c r="G26" i="6"/>
  <c r="E22" i="6"/>
  <c r="F22" i="6" s="1"/>
  <c r="H22" i="6"/>
  <c r="B11" i="6"/>
  <c r="H16" i="6"/>
  <c r="H19" i="6"/>
  <c r="H27" i="6"/>
  <c r="E27" i="6"/>
  <c r="G27" i="6"/>
  <c r="F27" i="6"/>
  <c r="E37" i="13" s="1"/>
  <c r="B13" i="6"/>
  <c r="E19" i="6" l="1"/>
  <c r="F19" i="6" s="1"/>
  <c r="E29" i="13" s="1"/>
  <c r="H43" i="8" s="1"/>
  <c r="E34" i="13"/>
  <c r="H48" i="8" s="1"/>
  <c r="G24" i="6"/>
  <c r="E20" i="6"/>
  <c r="F20" i="6" s="1"/>
  <c r="E30" i="13" s="1"/>
  <c r="H44" i="8" s="1"/>
  <c r="E15" i="6"/>
  <c r="F15" i="6" s="1"/>
  <c r="E25" i="13" s="1"/>
  <c r="H39" i="8" s="1"/>
  <c r="E9" i="6"/>
  <c r="F9" i="6" s="1"/>
  <c r="E19" i="13" s="1"/>
  <c r="H33" i="8" s="1"/>
  <c r="E5" i="6"/>
  <c r="F5" i="6" s="1"/>
  <c r="E15" i="13" s="1"/>
  <c r="H29" i="8" s="1"/>
  <c r="E14" i="6"/>
  <c r="F14" i="6" s="1"/>
  <c r="G14" i="6" s="1"/>
  <c r="E10" i="6"/>
  <c r="F10" i="6" s="1"/>
  <c r="E20" i="13" s="1"/>
  <c r="H34" i="8" s="1"/>
  <c r="E11" i="6"/>
  <c r="F11" i="6" s="1"/>
  <c r="E21" i="13" s="1"/>
  <c r="H35" i="8" s="1"/>
  <c r="E16" i="6"/>
  <c r="F16" i="6" s="1"/>
  <c r="G16" i="6" s="1"/>
  <c r="E8" i="6"/>
  <c r="F8" i="6" s="1"/>
  <c r="E18" i="13" s="1"/>
  <c r="H32" i="8" s="1"/>
  <c r="E7" i="6"/>
  <c r="F7" i="6" s="1"/>
  <c r="E17" i="13" s="1"/>
  <c r="H31" i="8" s="1"/>
  <c r="E12" i="6"/>
  <c r="F12" i="6" s="1"/>
  <c r="E22" i="13" s="1"/>
  <c r="H36" i="8" s="1"/>
  <c r="E17" i="6"/>
  <c r="F17" i="6" s="1"/>
  <c r="E27" i="13" s="1"/>
  <c r="H41" i="8" s="1"/>
  <c r="E6" i="6"/>
  <c r="F6" i="6" s="1"/>
  <c r="G6" i="6" s="1"/>
  <c r="E4" i="6"/>
  <c r="F4" i="6" s="1"/>
  <c r="E14" i="13" s="1"/>
  <c r="H28" i="8" s="1"/>
  <c r="E21" i="6"/>
  <c r="F21" i="6" s="1"/>
  <c r="E31" i="13" s="1"/>
  <c r="H45" i="8" s="1"/>
  <c r="E18" i="6"/>
  <c r="F18" i="6" s="1"/>
  <c r="E28" i="13" s="1"/>
  <c r="H42" i="8" s="1"/>
  <c r="E13" i="6"/>
  <c r="F13" i="6" s="1"/>
  <c r="E23" i="13" s="1"/>
  <c r="H37" i="8" s="1"/>
  <c r="K11" i="13"/>
  <c r="O7" i="14" s="1"/>
  <c r="E32" i="13"/>
  <c r="H46" i="8" s="1"/>
  <c r="G22" i="6"/>
  <c r="E33" i="13"/>
  <c r="H47" i="8" s="1"/>
  <c r="G23" i="6"/>
  <c r="G19" i="6" l="1"/>
  <c r="G20" i="6"/>
  <c r="G9" i="6"/>
  <c r="E26" i="13"/>
  <c r="H40" i="8" s="1"/>
  <c r="G11" i="6"/>
  <c r="G4" i="6"/>
  <c r="E24" i="13"/>
  <c r="H38" i="8" s="1"/>
  <c r="E16" i="13"/>
  <c r="H30" i="8" s="1"/>
  <c r="G7" i="6"/>
  <c r="G15" i="6"/>
  <c r="G8" i="6"/>
  <c r="G5" i="6"/>
  <c r="G18" i="6"/>
  <c r="G17" i="6"/>
  <c r="G12" i="6"/>
  <c r="G21" i="6"/>
  <c r="G13" i="6"/>
  <c r="B12" i="6"/>
  <c r="G10" i="6"/>
  <c r="B6" i="6" l="1"/>
  <c r="E11" i="13"/>
  <c r="O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Chip Baxter</author>
  </authors>
  <commentList>
    <comment ref="D8" authorId="0" shapeId="0" xr:uid="{00000000-0006-0000-0200-000001000000}">
      <text>
        <r>
          <rPr>
            <sz val="11"/>
            <color indexed="81"/>
            <rFont val="Tahoma"/>
            <family val="2"/>
          </rPr>
          <t>When Hard Limit, Lower and Upper Bounds are percentage deviation from Nominal Sens.
When ISO, Lower and Upper Bounds are percentage from the calculated SUT sensitivty at reference frequency. The first test point is the reference frequency, whose bounds are calculated as percentage deviation from Nominal Sens.
Do not use ISO for sensors that are tested for linearity such as proximity probes.</t>
        </r>
      </text>
    </comment>
    <comment ref="A15" authorId="0" shapeId="0" xr:uid="{00000000-0006-0000-0200-000002000000}">
      <text>
        <r>
          <rPr>
            <sz val="11"/>
            <color indexed="81"/>
            <rFont val="Tahoma"/>
            <family val="2"/>
          </rPr>
          <t>In ISO route type, this is the reference frequency. All other bounds will be based on the sensitivity derived here.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Sang Kim</author>
  </authors>
  <commentList>
    <comment ref="B15" authorId="0" shapeId="0" xr:uid="{00000000-0006-0000-0400-000001000000}">
      <text>
        <r>
          <rPr>
            <b/>
            <sz val="9"/>
            <color indexed="81"/>
            <rFont val="Tahoma"/>
            <family val="2"/>
          </rPr>
          <t>As Found: N/A
As Found: In Tolerance
As Found: Out of Telerance</t>
        </r>
      </text>
    </comment>
    <comment ref="B16" authorId="0" shapeId="0" xr:uid="{00000000-0006-0000-0400-000002000000}">
      <text>
        <r>
          <rPr>
            <b/>
            <sz val="9"/>
            <color indexed="81"/>
            <rFont val="Tahoma"/>
            <family val="2"/>
          </rPr>
          <t>As Left: In Tolerance
As Left: Out of Tolerance</t>
        </r>
      </text>
    </comment>
    <comment ref="E49" authorId="0" shapeId="0" xr:uid="{00000000-0006-0000-0400-000003000000}">
      <text>
        <r>
          <rPr>
            <b/>
            <sz val="9"/>
            <color indexed="81"/>
            <rFont val="Tahoma"/>
            <family val="2"/>
          </rPr>
          <t>As Found: N/A
As Found: In Tolerance
As Found: Out of Telerance</t>
        </r>
      </text>
    </comment>
    <comment ref="E50" authorId="0" shapeId="0" xr:uid="{00000000-0006-0000-0400-000004000000}">
      <text>
        <r>
          <rPr>
            <b/>
            <sz val="9"/>
            <color indexed="81"/>
            <rFont val="Tahoma"/>
            <family val="2"/>
          </rPr>
          <t>As Left: In Tolerance
As Left: Out of Tolerance</t>
        </r>
      </text>
    </comment>
  </commentList>
</comments>
</file>

<file path=xl/sharedStrings.xml><?xml version="1.0" encoding="utf-8"?>
<sst xmlns="http://schemas.openxmlformats.org/spreadsheetml/2006/main" count="430" uniqueCount="287">
  <si>
    <t>max linearity</t>
  </si>
  <si>
    <t>Slope:</t>
  </si>
  <si>
    <t>zero line</t>
  </si>
  <si>
    <t>Absolute</t>
  </si>
  <si>
    <t>linearity %FS</t>
  </si>
  <si>
    <t>test level</t>
  </si>
  <si>
    <t>Hz</t>
  </si>
  <si>
    <t>PLEASE DO NOT DELETE THIS TABLE (USED FOR LINEARITY CALCULATION)</t>
  </si>
  <si>
    <t>Description</t>
  </si>
  <si>
    <t>Calibration Data:</t>
  </si>
  <si>
    <t>%</t>
  </si>
  <si>
    <t>Data Table</t>
  </si>
  <si>
    <t>Sensitivity
at</t>
  </si>
  <si>
    <t>Ref. Frequency</t>
  </si>
  <si>
    <t>mVpk</t>
  </si>
  <si>
    <t>linfit (mVpk)</t>
  </si>
  <si>
    <t>Linearity</t>
  </si>
  <si>
    <t>FS linfit (mVpk)</t>
  </si>
  <si>
    <t>Y-Intercept</t>
  </si>
  <si>
    <t>xMax</t>
  </si>
  <si>
    <t>yMax</t>
  </si>
  <si>
    <t>xMin</t>
  </si>
  <si>
    <t>For Dynamic Linearity</t>
  </si>
  <si>
    <t>Customer:</t>
  </si>
  <si>
    <t>g</t>
  </si>
  <si>
    <t>For Static Linearity</t>
  </si>
  <si>
    <t>Test Level</t>
  </si>
  <si>
    <t>Linfit</t>
  </si>
  <si>
    <t>SLOPE</t>
  </si>
  <si>
    <t>INTERCEPT</t>
  </si>
  <si>
    <t>ymax</t>
  </si>
  <si>
    <t>xmax</t>
  </si>
  <si>
    <t>sensitivity</t>
  </si>
  <si>
    <r>
      <t>o</t>
    </r>
    <r>
      <rPr>
        <sz val="10"/>
        <rFont val="Arial"/>
        <family val="2"/>
      </rPr>
      <t>C</t>
    </r>
  </si>
  <si>
    <r>
      <rPr>
        <vertAlign val="superscript"/>
        <sz val="10"/>
        <rFont val="Calibri"/>
        <family val="2"/>
      </rPr>
      <t>o</t>
    </r>
    <r>
      <rPr>
        <sz val="10"/>
        <rFont val="Calibri"/>
        <family val="2"/>
      </rPr>
      <t>C</t>
    </r>
  </si>
  <si>
    <r>
      <rPr>
        <vertAlign val="superscript"/>
        <sz val="9"/>
        <rFont val="Arial"/>
        <family val="2"/>
      </rPr>
      <t>o</t>
    </r>
    <r>
      <rPr>
        <sz val="9"/>
        <rFont val="Arial"/>
        <family val="2"/>
      </rPr>
      <t>C</t>
    </r>
  </si>
  <si>
    <t>°C</t>
  </si>
  <si>
    <t>Report Workbook Version:</t>
  </si>
  <si>
    <t>Reference</t>
  </si>
  <si>
    <t>Point</t>
  </si>
  <si>
    <t>Sensor Type</t>
  </si>
  <si>
    <t>Frequency Units</t>
  </si>
  <si>
    <t>Hertz</t>
  </si>
  <si>
    <t>CPM</t>
  </si>
  <si>
    <t>ICP</t>
  </si>
  <si>
    <t>Voltage</t>
  </si>
  <si>
    <t>Modulated Current</t>
  </si>
  <si>
    <t>Amplitude Units</t>
  </si>
  <si>
    <t>g RMS</t>
  </si>
  <si>
    <t>in/s RMS</t>
  </si>
  <si>
    <t>mm/s RMS</t>
  </si>
  <si>
    <t>pvc_route3</t>
  </si>
  <si>
    <t>filenames</t>
  </si>
  <si>
    <t>pvc_route2</t>
  </si>
  <si>
    <t>g pk</t>
  </si>
  <si>
    <t>in/s pk</t>
  </si>
  <si>
    <t>mm/s pk</t>
  </si>
  <si>
    <t>mil p-p</t>
  </si>
  <si>
    <t>m/s2 pk</t>
  </si>
  <si>
    <t>m/s2 RMS</t>
  </si>
  <si>
    <t>um p-p</t>
  </si>
  <si>
    <t>pvc_route</t>
  </si>
  <si>
    <t>2.0.2</t>
  </si>
  <si>
    <t>Introduced Version Log</t>
  </si>
  <si>
    <t>Current Report Workbook Version:</t>
  </si>
  <si>
    <t>Acceleration</t>
  </si>
  <si>
    <t>mA</t>
  </si>
  <si>
    <t>2.0.3</t>
  </si>
  <si>
    <t>Edited the Route Creator sheet.  The decimal place of the amplitude value is now limited based on the selected amplitude unit.</t>
  </si>
  <si>
    <t>Version</t>
  </si>
  <si>
    <t>3.0.0</t>
  </si>
  <si>
    <t>In LINData: unlocked H12 and created a drop down menu for acceleration, velocity, and displacement.  Modified H13 and created a linked list for the amplitude, velocity and displacement options available on the PVC.  Modified I13 and created a drop down list for Volts and mA.  Got rid of line 14 (was called "starting point").
Changed the name of table in G10 to "Static Proximity Probe/4-20 mA Vibration Sensor Calibration Data Table" (did not record original name).  In FRData: Added checkbox at top right to allow the inline charge amp sensitivity to be displayed.  Added the charge amp sensitivity text box.  The charge amp sensitivity is now displayed on the Cal Cert.</t>
  </si>
  <si>
    <t>n/a</t>
  </si>
  <si>
    <t>3.0.1</t>
  </si>
  <si>
    <t xml:space="preserve">Edited FRData and FRRaw to update the sensitivity displayed in FRData to show mV/pC when "Create Calibration Certificate in   pC/g" to pC/g…  </t>
  </si>
  <si>
    <t>3.0.3</t>
  </si>
  <si>
    <t>Fixed MRS PV note on CPM vs Hz</t>
  </si>
  <si>
    <t>3.0.4</t>
  </si>
  <si>
    <t>Fixed all MRS PV notes, set all worksheets top start in the same cell when activating worksheet, set all worksheets to automatically lock when activated</t>
  </si>
  <si>
    <t>Velocity</t>
  </si>
  <si>
    <t>Displacement</t>
  </si>
  <si>
    <t>m/s2</t>
  </si>
  <si>
    <t>in/s</t>
  </si>
  <si>
    <t>mm/s</t>
  </si>
  <si>
    <t>mil</t>
  </si>
  <si>
    <t>um</t>
  </si>
  <si>
    <t>V</t>
  </si>
  <si>
    <t>mV</t>
  </si>
  <si>
    <t>uA</t>
  </si>
  <si>
    <t>3.0.8</t>
  </si>
  <si>
    <t>Prompt users to save Calibration route file in ":\CalRecords_PVC\Calibrtion_Route\"</t>
  </si>
  <si>
    <t>Linearity Test</t>
  </si>
  <si>
    <t>Analyzer Settings</t>
  </si>
  <si>
    <t>Hanning</t>
  </si>
  <si>
    <t>Frequency Response Test</t>
  </si>
  <si>
    <t>3.0.9</t>
  </si>
  <si>
    <t>Check for illegal character in Route Name or Sensor MN</t>
  </si>
  <si>
    <t>Replace comma decimal separator to point separator</t>
  </si>
  <si>
    <t>Analyzer window</t>
  </si>
  <si>
    <t>Hamming</t>
  </si>
  <si>
    <t>Flattop</t>
  </si>
  <si>
    <t>Uniform</t>
  </si>
  <si>
    <t>Fix graphing display on SLinCert</t>
  </si>
  <si>
    <t xml:space="preserve">SN: </t>
  </si>
  <si>
    <t xml:space="preserve">MN: </t>
  </si>
  <si>
    <t xml:space="preserve">Manufacturer: </t>
  </si>
  <si>
    <t xml:space="preserve">Cal Tech: </t>
  </si>
  <si>
    <t xml:space="preserve">Cal date: </t>
  </si>
  <si>
    <t xml:space="preserve">Cal due: </t>
  </si>
  <si>
    <t>Test Equipment</t>
  </si>
  <si>
    <t>Sensor</t>
  </si>
  <si>
    <t>PVC</t>
  </si>
  <si>
    <t xml:space="preserve">Analyzer mode: </t>
  </si>
  <si>
    <t xml:space="preserve"># of Line: </t>
  </si>
  <si>
    <t xml:space="preserve">Averaging Points: </t>
  </si>
  <si>
    <t xml:space="preserve">Window Type: </t>
  </si>
  <si>
    <t>MN</t>
  </si>
  <si>
    <t>SN</t>
  </si>
  <si>
    <t xml:space="preserve">Test Frequency: </t>
  </si>
  <si>
    <t xml:space="preserve">Test Amplitude: </t>
  </si>
  <si>
    <t>~ Vibration Analyzer Certification ~</t>
  </si>
  <si>
    <t xml:space="preserve">Amplitude Unit: </t>
  </si>
  <si>
    <t xml:space="preserve">Frequency Unit: </t>
  </si>
  <si>
    <t>Note:</t>
  </si>
  <si>
    <t xml:space="preserve">Analyzer Sensor Input Sensitivity: </t>
  </si>
  <si>
    <t>DMM</t>
  </si>
  <si>
    <t>% Tolerance</t>
  </si>
  <si>
    <t>% Deviation</t>
  </si>
  <si>
    <t>mV/EU</t>
  </si>
  <si>
    <t>V/EU</t>
  </si>
  <si>
    <t>Cal. Date</t>
  </si>
  <si>
    <t>mV/g</t>
  </si>
  <si>
    <t>Sensitivity @ 100 Hz</t>
  </si>
  <si>
    <t>Analyzer/Meter Information</t>
  </si>
  <si>
    <t xml:space="preserve">Frequency Max: </t>
  </si>
  <si>
    <t>Spectra</t>
  </si>
  <si>
    <t>Overall</t>
  </si>
  <si>
    <t>Time waveform</t>
  </si>
  <si>
    <t xml:space="preserve">Unit: </t>
  </si>
  <si>
    <t xml:space="preserve">Min: </t>
  </si>
  <si>
    <t xml:space="preserve">Abs. Max Deviation (%): </t>
  </si>
  <si>
    <t>Charge</t>
  </si>
  <si>
    <t>3.1.0</t>
  </si>
  <si>
    <t>Added charge mode sensor support to the Route Creator tab.</t>
  </si>
  <si>
    <t>Hard Limit</t>
  </si>
  <si>
    <t>5.3 or earlier</t>
  </si>
  <si>
    <t>6.0 or later</t>
  </si>
  <si>
    <t>ISO</t>
  </si>
  <si>
    <t>PR</t>
  </si>
  <si>
    <t>3.2.0</t>
  </si>
  <si>
    <t>Changes</t>
  </si>
  <si>
    <t>Added ISO route creator and support for changes in 6.0 route</t>
  </si>
  <si>
    <t>Fixed using comma as the seperator for route creator</t>
  </si>
  <si>
    <t>3.2.1</t>
  </si>
  <si>
    <t>3.2.2</t>
  </si>
  <si>
    <t>Fixed data point range in Save_Route_File routine of Generate_CalRoute module (fixed bug where only 28 points were written instead of all 30)</t>
  </si>
  <si>
    <t>3.2.3</t>
  </si>
  <si>
    <t>Updated logo</t>
  </si>
  <si>
    <t>3.2.4</t>
  </si>
  <si>
    <t>Traceable to NIST and PTB. Piezoelectric sensor sensitivity tested by back-to-back comparison per ISO 16063-21. This certificate may not be reproduced except in full, without written permission.</t>
  </si>
  <si>
    <t>Removed "Load Test Route" button from Vib Analyzer Data tab &amp; fixed VB error</t>
  </si>
  <si>
    <t>Version: 3.2.4</t>
  </si>
  <si>
    <t>频率</t>
  </si>
  <si>
    <t>幅值</t>
  </si>
  <si>
    <t>灵敏度</t>
  </si>
  <si>
    <t>偏差</t>
  </si>
  <si>
    <t>输入参考基准频率</t>
  </si>
  <si>
    <t>频率响应数据表</t>
  </si>
  <si>
    <t>哈迪振动台-校验装置</t>
  </si>
  <si>
    <t>报告生成专用电子表格</t>
  </si>
  <si>
    <t>序号</t>
  </si>
  <si>
    <t>输入</t>
  </si>
  <si>
    <t>输出</t>
  </si>
  <si>
    <t>线性度</t>
  </si>
  <si>
    <t>线性度最大值:</t>
  </si>
  <si>
    <t>测试频率:</t>
  </si>
  <si>
    <t>动态线性度数据表格</t>
  </si>
  <si>
    <t>静态趋近式探头 / 4-20 mA 振动传感器 校验数据表格</t>
  </si>
  <si>
    <t>1) 输入位移与输出信号单位</t>
  </si>
  <si>
    <t>2) 输入实测数据</t>
  </si>
  <si>
    <t>幅值单位</t>
  </si>
  <si>
    <t>校验路径生成表格</t>
  </si>
  <si>
    <t>哈迪振动台 - 校验装置</t>
  </si>
  <si>
    <t>路径名称</t>
  </si>
  <si>
    <t>频率单位</t>
  </si>
  <si>
    <t>PVC 版本</t>
  </si>
  <si>
    <t>路径类型</t>
  </si>
  <si>
    <t>下限值</t>
  </si>
  <si>
    <t>上限值</t>
  </si>
  <si>
    <t>标称灵敏度</t>
  </si>
  <si>
    <t>传感器型号</t>
  </si>
  <si>
    <t>传感器类型</t>
  </si>
  <si>
    <t>分析仪/仪表 信息 *</t>
  </si>
  <si>
    <t xml:space="preserve">制造商: </t>
  </si>
  <si>
    <t xml:space="preserve">型号: </t>
  </si>
  <si>
    <t xml:space="preserve">系列号: </t>
  </si>
  <si>
    <t xml:space="preserve">校验人员: </t>
  </si>
  <si>
    <t xml:space="preserve">校验日期: </t>
  </si>
  <si>
    <t xml:space="preserve">分析仪工作模式: </t>
  </si>
  <si>
    <t xml:space="preserve">频率最大值: </t>
  </si>
  <si>
    <t xml:space="preserve">频率最小值: </t>
  </si>
  <si>
    <t xml:space="preserve">频率单位: </t>
  </si>
  <si>
    <t xml:space="preserve">分辨率线数: </t>
  </si>
  <si>
    <t xml:space="preserve">平均叠加点数: </t>
  </si>
  <si>
    <t xml:space="preserve">窗函数类型: </t>
  </si>
  <si>
    <t xml:space="preserve">传感器输入灵敏度: </t>
  </si>
  <si>
    <t xml:space="preserve">单位: </t>
  </si>
  <si>
    <t>测试设备 信息 *</t>
  </si>
  <si>
    <t>描述</t>
  </si>
  <si>
    <t>型号</t>
  </si>
  <si>
    <t>系列号</t>
  </si>
  <si>
    <t>校验日期</t>
  </si>
  <si>
    <t>单位</t>
  </si>
  <si>
    <t>实测灵敏度 @ 100Hz</t>
  </si>
  <si>
    <t>% 允许误差</t>
  </si>
  <si>
    <t>% 实测偏差</t>
  </si>
  <si>
    <t>~ 振动分析仪校验证书 ~</t>
  </si>
  <si>
    <t xml:space="preserve">测试频率: </t>
  </si>
  <si>
    <t xml:space="preserve">测试幅值: </t>
  </si>
  <si>
    <t xml:space="preserve">幅值单位: </t>
  </si>
  <si>
    <t>分析仪 设置 *</t>
  </si>
  <si>
    <t>标准给定值</t>
  </si>
  <si>
    <t>标称校验灵敏度 @ 100Hz</t>
  </si>
  <si>
    <t>实测数值</t>
  </si>
  <si>
    <t>% 偏差</t>
  </si>
  <si>
    <t>标准振动台</t>
  </si>
  <si>
    <t>传感器</t>
  </si>
  <si>
    <t>数字万用表</t>
  </si>
  <si>
    <t>制造商</t>
  </si>
  <si>
    <t>ID号码</t>
  </si>
  <si>
    <t>说明</t>
  </si>
  <si>
    <t>传感器信息:</t>
  </si>
  <si>
    <t>校验数据</t>
  </si>
  <si>
    <t>传感器参数</t>
  </si>
  <si>
    <t>测试档位:</t>
  </si>
  <si>
    <t>分辨率:</t>
  </si>
  <si>
    <t>谐振频率:</t>
  </si>
  <si>
    <t>温度使用范围:</t>
  </si>
  <si>
    <t>偏差 (%)</t>
  </si>
  <si>
    <t>本次结果仅针对被校验设备有效。</t>
  </si>
  <si>
    <t>未经书面许可，本证书不得全文以外形式复制转载。</t>
  </si>
  <si>
    <t>本次校验使用Metrix HI-903 PRO便携式振动校验台完成。</t>
  </si>
  <si>
    <t>依据 ISO 16063-21 标准执行背对背比对校验。</t>
  </si>
  <si>
    <t>用户备注</t>
  </si>
  <si>
    <t>客户信息:</t>
  </si>
  <si>
    <t>设备状态</t>
  </si>
  <si>
    <t>校准前状态:</t>
  </si>
  <si>
    <t>校准后状态:</t>
  </si>
  <si>
    <t>实验室环境</t>
  </si>
  <si>
    <t>温度:</t>
  </si>
  <si>
    <t>湿度:</t>
  </si>
  <si>
    <t>检测人员:</t>
  </si>
  <si>
    <t>校验日期:</t>
  </si>
  <si>
    <t>校验时间:</t>
  </si>
  <si>
    <t>有效期截止日:</t>
  </si>
  <si>
    <t>~ 校验证书 ~</t>
  </si>
  <si>
    <t>型号:</t>
  </si>
  <si>
    <t>系列号:</t>
  </si>
  <si>
    <t>制造商:</t>
  </si>
  <si>
    <t>传感器信息</t>
  </si>
  <si>
    <t>灵敏度 @ 测试频率.:</t>
  </si>
  <si>
    <t>测试频率</t>
  </si>
  <si>
    <t>~ 线性度证书 ~</t>
  </si>
  <si>
    <t>线性度:</t>
  </si>
  <si>
    <t>幅值量程:</t>
  </si>
  <si>
    <t>幅值线性度</t>
  </si>
  <si>
    <t>数据表</t>
  </si>
  <si>
    <t>线性度 (%)</t>
  </si>
  <si>
    <t>客户信息：</t>
  </si>
  <si>
    <t>用户备注：</t>
  </si>
  <si>
    <t>实验室状态</t>
  </si>
  <si>
    <t>审核人员:</t>
  </si>
  <si>
    <t>ID号码:</t>
  </si>
  <si>
    <t>灵敏度:</t>
  </si>
  <si>
    <t>备注</t>
  </si>
  <si>
    <t>本次结果仅针对本次被校验设备有效。</t>
  </si>
  <si>
    <t>位移数据必须以基准零点为起点，按数值从小到大递增顺序录入。</t>
  </si>
  <si>
    <t>客户信息</t>
  </si>
  <si>
    <t>有效期截至日:</t>
  </si>
  <si>
    <t>审核信息</t>
  </si>
  <si>
    <t>测试 *</t>
  </si>
  <si>
    <t xml:space="preserve">有效期截止日: </t>
  </si>
  <si>
    <t xml:space="preserve"> pC/g (仅限 mV/g 数据)</t>
  </si>
  <si>
    <t>生成校验证书单位：</t>
  </si>
  <si>
    <t>启动点</t>
  </si>
  <si>
    <t>数据表已按起始点（标称直流 - 3 伏）进行归一化处理。</t>
  </si>
  <si>
    <t>未经书面许可，本证书不得部分复制，仅可完整复制。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</si>
</sst>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0"/>
    <numFmt numFmtId="165" formatCode="0.0"/>
    <numFmt numFmtId="166" formatCode="0.000"/>
    <numFmt numFmtId="167" formatCode="[$-409]d\-mmm\-yyyy;@"/>
    <numFmt numFmtId="168" formatCode="0.000%"/>
    <numFmt numFmtId="169" formatCode="0.0%"/>
  </numFmts>
  <fonts count="84" x14ac:knownFonts="1">
    <font>
      <sz val="11"/>
      <color theme="1"/>
      <name val="Calibri"/>
      <family val="2"/>
      <scheme val="minor"/>
    </font>
    <font>
      <sz val="11"/>
      <color indexed="8"/>
      <name val="Calibri"/>
      <family val="2"/>
    </font>
    <font>
      <sz val="10"/>
      <name val="Arial"/>
      <family val="2"/>
    </font>
    <font>
      <sz val="12"/>
      <name val="Arial"/>
      <family val="2"/>
    </font>
    <font>
      <b/>
      <sz val="12"/>
      <name val="Arial"/>
      <family val="2"/>
    </font>
    <font>
      <sz val="16"/>
      <name val="Arial"/>
      <family val="2"/>
    </font>
    <font>
      <b/>
      <sz val="10"/>
      <name val="Arial"/>
      <family val="2"/>
    </font>
    <font>
      <sz val="9"/>
      <name val="Arial"/>
      <family val="2"/>
    </font>
    <font>
      <b/>
      <sz val="11"/>
      <name val="Arial"/>
      <family val="2"/>
    </font>
    <font>
      <sz val="8"/>
      <name val="Arial"/>
      <family val="2"/>
    </font>
    <font>
      <b/>
      <i/>
      <sz val="8"/>
      <name val="Arial"/>
      <family val="2"/>
    </font>
    <font>
      <b/>
      <sz val="9"/>
      <name val="Arial"/>
      <family val="2"/>
    </font>
    <font>
      <b/>
      <i/>
      <sz val="9"/>
      <name val="Arial"/>
      <family val="2"/>
    </font>
    <font>
      <b/>
      <i/>
      <sz val="8"/>
      <name val="Arial Narrow"/>
      <family val="2"/>
    </font>
    <font>
      <sz val="9"/>
      <name val="Arial Narrow"/>
      <family val="2"/>
    </font>
    <font>
      <b/>
      <i/>
      <u/>
      <sz val="9"/>
      <name val="Arial"/>
      <family val="2"/>
    </font>
    <font>
      <sz val="7"/>
      <name val="Arial"/>
      <family val="2"/>
    </font>
    <font>
      <sz val="6"/>
      <name val="Times New Roman"/>
      <family val="1"/>
    </font>
    <font>
      <sz val="10"/>
      <name val="Arial Narrow"/>
      <family val="2"/>
    </font>
    <font>
      <sz val="8"/>
      <name val="Calibri"/>
      <family val="2"/>
    </font>
    <font>
      <b/>
      <sz val="12"/>
      <color indexed="9"/>
      <name val="Arial"/>
      <family val="2"/>
    </font>
    <font>
      <sz val="12"/>
      <color indexed="9"/>
      <name val="Arial"/>
      <family val="2"/>
    </font>
    <font>
      <sz val="12"/>
      <color indexed="63"/>
      <name val="Arial"/>
      <family val="2"/>
    </font>
    <font>
      <sz val="11"/>
      <color indexed="8"/>
      <name val="Arial Narrow"/>
      <family val="2"/>
    </font>
    <font>
      <sz val="11"/>
      <color indexed="8"/>
      <name val="Calibri"/>
      <family val="2"/>
    </font>
    <font>
      <b/>
      <sz val="12"/>
      <color indexed="8"/>
      <name val="Arial"/>
      <family val="2"/>
    </font>
    <font>
      <b/>
      <sz val="9"/>
      <color indexed="81"/>
      <name val="Tahoma"/>
      <family val="2"/>
    </font>
    <font>
      <b/>
      <i/>
      <sz val="16"/>
      <color indexed="8"/>
      <name val="Calibri"/>
      <family val="2"/>
    </font>
    <font>
      <sz val="10"/>
      <name val="Calibri"/>
      <family val="2"/>
    </font>
    <font>
      <vertAlign val="superscript"/>
      <sz val="10"/>
      <name val="Calibri"/>
      <family val="2"/>
    </font>
    <font>
      <sz val="11"/>
      <color indexed="8"/>
      <name val="Arial"/>
      <family val="2"/>
    </font>
    <font>
      <vertAlign val="superscript"/>
      <sz val="10"/>
      <name val="Arial"/>
      <family val="2"/>
    </font>
    <font>
      <vertAlign val="superscript"/>
      <sz val="9"/>
      <name val="Arial"/>
      <family val="2"/>
    </font>
    <font>
      <sz val="8"/>
      <name val="Arial Narrow"/>
      <family val="2"/>
    </font>
    <font>
      <b/>
      <sz val="9"/>
      <color indexed="8"/>
      <name val="Calibri"/>
      <family val="2"/>
    </font>
    <font>
      <sz val="12"/>
      <color indexed="8"/>
      <name val="Arial"/>
      <family val="2"/>
    </font>
    <font>
      <b/>
      <sz val="16"/>
      <name val="Arial"/>
      <family val="2"/>
    </font>
    <font>
      <b/>
      <i/>
      <sz val="14"/>
      <color indexed="8"/>
      <name val="Arial Black"/>
      <family val="2"/>
    </font>
    <font>
      <b/>
      <i/>
      <sz val="14"/>
      <name val="Arial Black"/>
      <family val="2"/>
    </font>
    <font>
      <b/>
      <sz val="12"/>
      <color indexed="10"/>
      <name val="Arial"/>
      <family val="2"/>
    </font>
    <font>
      <sz val="11"/>
      <color indexed="8"/>
      <name val="Calibri"/>
      <family val="2"/>
    </font>
    <font>
      <b/>
      <sz val="14"/>
      <name val="Arial"/>
      <family val="2"/>
    </font>
    <font>
      <b/>
      <sz val="12"/>
      <color indexed="8"/>
      <name val="Calibri"/>
      <family val="2"/>
    </font>
    <font>
      <sz val="12"/>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b/>
      <sz val="12"/>
      <color rgb="FF000000"/>
      <name val="Arial"/>
      <family val="2"/>
    </font>
    <font>
      <b/>
      <sz val="10"/>
      <color rgb="FF000000"/>
      <name val="Arial"/>
      <family val="2"/>
    </font>
    <font>
      <b/>
      <sz val="14"/>
      <color rgb="FF000000"/>
      <name val="Calibri"/>
      <family val="2"/>
    </font>
    <font>
      <b/>
      <sz val="16"/>
      <color indexed="9"/>
      <name val="Arial"/>
      <family val="2"/>
    </font>
    <font>
      <b/>
      <i/>
      <sz val="14"/>
      <color theme="1"/>
      <name val="Arial Black"/>
      <family val="2"/>
    </font>
    <font>
      <sz val="9"/>
      <color theme="1"/>
      <name val="Arial"/>
      <family val="2"/>
    </font>
    <font>
      <b/>
      <i/>
      <sz val="9"/>
      <color theme="1"/>
      <name val="Arial"/>
      <family val="2"/>
    </font>
    <font>
      <b/>
      <sz val="9"/>
      <color theme="1"/>
      <name val="Arial"/>
      <family val="2"/>
    </font>
    <font>
      <b/>
      <sz val="9"/>
      <color theme="3"/>
      <name val="Arial"/>
      <family val="2"/>
    </font>
    <font>
      <b/>
      <sz val="8"/>
      <color theme="1"/>
      <name val="Arial"/>
      <family val="2"/>
    </font>
    <font>
      <sz val="8"/>
      <color theme="1"/>
      <name val="Arial"/>
      <family val="2"/>
    </font>
    <font>
      <sz val="8"/>
      <color theme="1"/>
      <name val="Calibri"/>
      <family val="2"/>
      <scheme val="minor"/>
    </font>
    <font>
      <sz val="11"/>
      <name val="Calibri"/>
      <family val="2"/>
      <scheme val="minor"/>
    </font>
    <font>
      <sz val="11"/>
      <color theme="1"/>
      <name val="Arial"/>
      <family val="2"/>
    </font>
    <font>
      <b/>
      <i/>
      <sz val="14"/>
      <color theme="1"/>
      <name val="Arial"/>
      <family val="2"/>
    </font>
    <font>
      <sz val="9"/>
      <color theme="0"/>
      <name val="Arial"/>
      <family val="2"/>
    </font>
    <font>
      <b/>
      <sz val="8"/>
      <color rgb="FF000000"/>
      <name val="Arial"/>
      <family val="2"/>
    </font>
    <font>
      <sz val="9"/>
      <color rgb="FFEEF3F8"/>
      <name val="Arial"/>
      <family val="2"/>
    </font>
    <font>
      <sz val="11"/>
      <color rgb="FFEEF3F8"/>
      <name val="Calibri"/>
      <family val="2"/>
      <scheme val="minor"/>
    </font>
    <font>
      <b/>
      <sz val="10"/>
      <color rgb="FF000000"/>
      <name val="Calibri"/>
      <family val="2"/>
    </font>
    <font>
      <sz val="11"/>
      <color indexed="81"/>
      <name val="Tahoma"/>
      <family val="2"/>
    </font>
    <font>
      <b/>
      <sz val="12"/>
      <color indexed="56"/>
      <name val="Arial"/>
      <family val="2"/>
    </font>
    <font>
      <b/>
      <sz val="14"/>
      <color rgb="FF000000"/>
      <name val="Arial"/>
      <family val="2"/>
    </font>
  </fonts>
  <fills count="46">
    <fill>
      <patternFill patternType="none"/>
    </fill>
    <fill>
      <patternFill patternType="gray125"/>
    </fill>
    <fill>
      <patternFill patternType="solid">
        <fgColor indexed="22"/>
        <bgColor indexed="26"/>
      </patternFill>
    </fill>
    <fill>
      <patternFill patternType="solid">
        <fgColor indexed="22"/>
        <bgColor indexed="64"/>
      </patternFill>
    </fill>
    <fill>
      <patternFill patternType="solid">
        <fgColor indexed="22"/>
        <bgColor indexed="43"/>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CC66"/>
        <bgColor indexed="64"/>
      </patternFill>
    </fill>
    <fill>
      <patternFill patternType="solid">
        <fgColor rgb="FFFFC000"/>
        <bgColor indexed="64"/>
      </patternFill>
    </fill>
    <fill>
      <patternFill patternType="solid">
        <fgColor rgb="FFFFCC99"/>
        <bgColor indexed="64"/>
      </patternFill>
    </fill>
    <fill>
      <patternFill patternType="solid">
        <fgColor rgb="FFFFEEDD"/>
        <bgColor indexed="64"/>
      </patternFill>
    </fill>
  </fills>
  <borders count="7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9"/>
      </left>
      <right style="thin">
        <color indexed="9"/>
      </right>
      <top style="thin">
        <color indexed="9"/>
      </top>
      <bottom style="thin">
        <color indexed="9"/>
      </bottom>
      <diagonal/>
    </border>
    <border>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style="thin">
        <color indexed="9"/>
      </left>
      <right style="thin">
        <color indexed="9"/>
      </right>
      <top style="thin">
        <color indexed="9"/>
      </top>
      <bottom/>
      <diagonal/>
    </border>
    <border>
      <left style="thin">
        <color indexed="9"/>
      </left>
      <right/>
      <top style="thin">
        <color indexed="9"/>
      </top>
      <bottom style="thin">
        <color indexed="9"/>
      </bottom>
      <diagonal/>
    </border>
    <border>
      <left style="thin">
        <color indexed="64"/>
      </left>
      <right style="thin">
        <color indexed="64"/>
      </right>
      <top/>
      <bottom style="thin">
        <color indexed="64"/>
      </bottom>
      <diagonal/>
    </border>
    <border>
      <left/>
      <right/>
      <top style="thin">
        <color indexed="9"/>
      </top>
      <bottom style="thin">
        <color indexed="9"/>
      </bottom>
      <diagonal/>
    </border>
    <border>
      <left style="thin">
        <color indexed="64"/>
      </left>
      <right style="thin">
        <color indexed="9"/>
      </right>
      <top style="thin">
        <color indexed="64"/>
      </top>
      <bottom style="thin">
        <color indexed="64"/>
      </bottom>
      <diagonal/>
    </border>
    <border>
      <left style="thin">
        <color indexed="9"/>
      </left>
      <right style="thin">
        <color indexed="64"/>
      </right>
      <top style="thin">
        <color indexed="64"/>
      </top>
      <bottom style="thin">
        <color indexed="64"/>
      </bottom>
      <diagonal/>
    </border>
    <border>
      <left/>
      <right style="thin">
        <color indexed="9"/>
      </right>
      <top style="thin">
        <color indexed="9"/>
      </top>
      <bottom/>
      <diagonal/>
    </border>
    <border>
      <left style="thin">
        <color indexed="9"/>
      </left>
      <right/>
      <top style="thin">
        <color indexed="9"/>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9"/>
      </left>
      <right style="thin">
        <color indexed="9"/>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9"/>
      </left>
      <right style="thin">
        <color indexed="9"/>
      </right>
      <top style="thin">
        <color indexed="64"/>
      </top>
      <bottom style="thin">
        <color indexed="64"/>
      </bottom>
      <diagonal/>
    </border>
    <border>
      <left style="thin">
        <color indexed="64"/>
      </left>
      <right style="thin">
        <color indexed="9"/>
      </right>
      <top style="thin">
        <color indexed="64"/>
      </top>
      <bottom/>
      <diagonal/>
    </border>
    <border>
      <left style="thin">
        <color indexed="9"/>
      </left>
      <right style="thin">
        <color indexed="9"/>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diagonal/>
    </border>
    <border>
      <left style="thin">
        <color theme="0"/>
      </left>
      <right style="thin">
        <color theme="0"/>
      </right>
      <top style="thin">
        <color theme="0"/>
      </top>
      <bottom/>
      <diagonal/>
    </border>
    <border>
      <left style="thin">
        <color theme="1"/>
      </left>
      <right style="thin">
        <color theme="1"/>
      </right>
      <top style="thin">
        <color theme="1"/>
      </top>
      <bottom style="thin">
        <color theme="1"/>
      </bottom>
      <diagonal/>
    </border>
    <border>
      <left style="thin">
        <color theme="1"/>
      </left>
      <right/>
      <top style="thin">
        <color indexed="9"/>
      </top>
      <bottom style="thin">
        <color indexed="9"/>
      </bottom>
      <diagonal/>
    </border>
    <border>
      <left style="thin">
        <color indexed="64"/>
      </left>
      <right/>
      <top style="thin">
        <color indexed="9"/>
      </top>
      <bottom style="thin">
        <color indexed="9"/>
      </bottom>
      <diagonal/>
    </border>
    <border>
      <left/>
      <right/>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9"/>
      </left>
      <right/>
      <top/>
      <bottom style="thin">
        <color indexed="64"/>
      </bottom>
      <diagonal/>
    </border>
    <border>
      <left/>
      <right style="thin">
        <color indexed="9"/>
      </right>
      <top/>
      <bottom style="thin">
        <color indexed="64"/>
      </bottom>
      <diagonal/>
    </border>
  </borders>
  <cellStyleXfs count="51">
    <xf numFmtId="0" fontId="0" fillId="0" borderId="0"/>
    <xf numFmtId="0" fontId="44" fillId="5" borderId="0" applyNumberFormat="0" applyBorder="0" applyAlignment="0" applyProtection="0"/>
    <xf numFmtId="0" fontId="44" fillId="6" borderId="0" applyNumberFormat="0" applyBorder="0" applyAlignment="0" applyProtection="0"/>
    <xf numFmtId="0" fontId="44" fillId="7"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3" borderId="0" applyNumberFormat="0" applyBorder="0" applyAlignment="0" applyProtection="0"/>
    <xf numFmtId="0" fontId="44"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5" fillId="17"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45" fillId="21" borderId="0" applyNumberFormat="0" applyBorder="0" applyAlignment="0" applyProtection="0"/>
    <xf numFmtId="0" fontId="45"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46" fillId="29" borderId="0" applyNumberFormat="0" applyBorder="0" applyAlignment="0" applyProtection="0"/>
    <xf numFmtId="0" fontId="47" fillId="30" borderId="41" applyNumberFormat="0" applyAlignment="0" applyProtection="0"/>
    <xf numFmtId="0" fontId="48" fillId="31" borderId="42" applyNumberFormat="0" applyAlignment="0" applyProtection="0"/>
    <xf numFmtId="0" fontId="49" fillId="0" borderId="0" applyNumberFormat="0" applyFill="0" applyBorder="0" applyAlignment="0" applyProtection="0"/>
    <xf numFmtId="0" fontId="50" fillId="32" borderId="0" applyNumberFormat="0" applyBorder="0" applyAlignment="0" applyProtection="0"/>
    <xf numFmtId="0" fontId="51" fillId="0" borderId="43"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0" applyNumberFormat="0" applyFill="0" applyBorder="0" applyAlignment="0" applyProtection="0"/>
    <xf numFmtId="0" fontId="54" fillId="33" borderId="41" applyNumberFormat="0" applyAlignment="0" applyProtection="0"/>
    <xf numFmtId="0" fontId="55" fillId="0" borderId="46" applyNumberFormat="0" applyFill="0" applyAlignment="0" applyProtection="0"/>
    <xf numFmtId="0" fontId="56" fillId="34" borderId="0" applyNumberFormat="0" applyBorder="0" applyAlignment="0" applyProtection="0"/>
    <xf numFmtId="0" fontId="2" fillId="0" borderId="0"/>
    <xf numFmtId="0" fontId="24" fillId="35" borderId="47" applyNumberFormat="0" applyFont="0" applyAlignment="0" applyProtection="0"/>
    <xf numFmtId="0" fontId="40" fillId="35" borderId="47" applyNumberFormat="0" applyFont="0" applyAlignment="0" applyProtection="0"/>
    <xf numFmtId="0" fontId="1" fillId="35" borderId="47" applyNumberFormat="0" applyFont="0" applyAlignment="0" applyProtection="0"/>
    <xf numFmtId="0" fontId="1" fillId="35" borderId="47" applyNumberFormat="0" applyFont="0" applyAlignment="0" applyProtection="0"/>
    <xf numFmtId="0" fontId="57" fillId="30" borderId="48" applyNumberFormat="0" applyAlignment="0" applyProtection="0"/>
    <xf numFmtId="9" fontId="24" fillId="0" borderId="0" applyFont="0" applyFill="0" applyBorder="0" applyAlignment="0" applyProtection="0"/>
    <xf numFmtId="9" fontId="2" fillId="0" borderId="0" applyFont="0" applyFill="0" applyBorder="0" applyAlignment="0" applyProtection="0"/>
    <xf numFmtId="9" fontId="4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8" fillId="0" borderId="0" applyNumberFormat="0" applyFill="0" applyBorder="0" applyAlignment="0" applyProtection="0"/>
    <xf numFmtId="0" fontId="59" fillId="0" borderId="49" applyNumberFormat="0" applyFill="0" applyAlignment="0" applyProtection="0"/>
    <xf numFmtId="0" fontId="60" fillId="0" borderId="0" applyNumberFormat="0" applyFill="0" applyBorder="0" applyAlignment="0" applyProtection="0"/>
  </cellStyleXfs>
  <cellXfs count="492">
    <xf numFmtId="0" fontId="0" fillId="0" borderId="0" xfId="0"/>
    <xf numFmtId="0" fontId="2" fillId="0" borderId="0" xfId="37"/>
    <xf numFmtId="0" fontId="6" fillId="0" borderId="0" xfId="37" applyFont="1"/>
    <xf numFmtId="0" fontId="2" fillId="0" borderId="2" xfId="37" applyBorder="1"/>
    <xf numFmtId="0" fontId="2" fillId="0" borderId="4" xfId="37" applyBorder="1"/>
    <xf numFmtId="0" fontId="2" fillId="0" borderId="5" xfId="37" applyBorder="1"/>
    <xf numFmtId="0" fontId="8" fillId="0" borderId="0" xfId="37" applyFont="1"/>
    <xf numFmtId="14" fontId="2" fillId="0" borderId="0" xfId="37" applyNumberFormat="1" applyAlignment="1">
      <alignment horizontal="center"/>
    </xf>
    <xf numFmtId="0" fontId="2" fillId="0" borderId="0" xfId="37" applyAlignment="1">
      <alignment horizontal="center"/>
    </xf>
    <xf numFmtId="0" fontId="18" fillId="0" borderId="0" xfId="37" applyFont="1" applyAlignment="1">
      <alignment horizontal="center"/>
    </xf>
    <xf numFmtId="0" fontId="2" fillId="0" borderId="0" xfId="37" applyAlignment="1">
      <alignment horizontal="left"/>
    </xf>
    <xf numFmtId="0" fontId="18" fillId="0" borderId="0" xfId="37" applyFont="1"/>
    <xf numFmtId="0" fontId="2" fillId="0" borderId="6" xfId="37" applyBorder="1"/>
    <xf numFmtId="0" fontId="2" fillId="0" borderId="7" xfId="37" applyBorder="1"/>
    <xf numFmtId="0" fontId="2" fillId="0" borderId="8" xfId="37" applyBorder="1"/>
    <xf numFmtId="0" fontId="3" fillId="0" borderId="1" xfId="37" applyFont="1" applyBorder="1" applyAlignment="1">
      <alignment wrapText="1"/>
    </xf>
    <xf numFmtId="0" fontId="2" fillId="0" borderId="3" xfId="37" applyBorder="1"/>
    <xf numFmtId="0" fontId="10" fillId="0" borderId="4" xfId="37" applyFont="1" applyBorder="1"/>
    <xf numFmtId="0" fontId="10" fillId="0" borderId="0" xfId="37" applyFont="1"/>
    <xf numFmtId="0" fontId="10" fillId="0" borderId="5" xfId="37" applyFont="1" applyBorder="1"/>
    <xf numFmtId="0" fontId="12" fillId="0" borderId="0" xfId="37" applyFont="1"/>
    <xf numFmtId="0" fontId="7" fillId="0" borderId="0" xfId="37" applyFont="1"/>
    <xf numFmtId="0" fontId="7" fillId="0" borderId="0" xfId="37" applyFont="1" applyAlignment="1">
      <alignment horizontal="left"/>
    </xf>
    <xf numFmtId="0" fontId="13" fillId="0" borderId="4" xfId="37" applyFont="1" applyBorder="1"/>
    <xf numFmtId="0" fontId="13" fillId="0" borderId="4" xfId="37" applyFont="1" applyBorder="1" applyAlignment="1">
      <alignment horizontal="left" vertical="center"/>
    </xf>
    <xf numFmtId="0" fontId="15" fillId="0" borderId="0" xfId="37" applyFont="1"/>
    <xf numFmtId="0" fontId="9" fillId="0" borderId="0" xfId="37" applyFont="1"/>
    <xf numFmtId="2" fontId="7" fillId="0" borderId="0" xfId="37" applyNumberFormat="1" applyFont="1"/>
    <xf numFmtId="0" fontId="16" fillId="0" borderId="4" xfId="37" applyFont="1" applyBorder="1" applyAlignment="1">
      <alignment vertical="center" wrapText="1"/>
    </xf>
    <xf numFmtId="0" fontId="17" fillId="0" borderId="4" xfId="37" applyFont="1" applyBorder="1"/>
    <xf numFmtId="166" fontId="22" fillId="2" borderId="9" xfId="37" applyNumberFormat="1" applyFont="1" applyFill="1" applyBorder="1" applyAlignment="1">
      <alignment horizontal="center"/>
    </xf>
    <xf numFmtId="2" fontId="22" fillId="2" borderId="9" xfId="37" applyNumberFormat="1" applyFont="1" applyFill="1" applyBorder="1" applyAlignment="1">
      <alignment horizontal="center"/>
    </xf>
    <xf numFmtId="2" fontId="18" fillId="0" borderId="0" xfId="37" applyNumberFormat="1" applyFont="1" applyAlignment="1">
      <alignment horizontal="left"/>
    </xf>
    <xf numFmtId="0" fontId="11" fillId="0" borderId="0" xfId="37" applyFont="1" applyAlignment="1">
      <alignment horizontal="center"/>
    </xf>
    <xf numFmtId="0" fontId="2" fillId="0" borderId="0" xfId="37" applyAlignment="1">
      <alignment horizontal="right"/>
    </xf>
    <xf numFmtId="0" fontId="6" fillId="0" borderId="4" xfId="37" applyFont="1" applyBorder="1"/>
    <xf numFmtId="0" fontId="6" fillId="0" borderId="5" xfId="37" applyFont="1" applyBorder="1"/>
    <xf numFmtId="2" fontId="2" fillId="0" borderId="0" xfId="37" applyNumberFormat="1"/>
    <xf numFmtId="0" fontId="2" fillId="0" borderId="5" xfId="37" applyBorder="1" applyAlignment="1">
      <alignment horizontal="center" wrapText="1"/>
    </xf>
    <xf numFmtId="0" fontId="0" fillId="0" borderId="5" xfId="0" applyBorder="1"/>
    <xf numFmtId="0" fontId="2" fillId="0" borderId="0" xfId="37" applyAlignment="1">
      <alignment wrapText="1"/>
    </xf>
    <xf numFmtId="0" fontId="14" fillId="0" borderId="0" xfId="37" applyFont="1" applyAlignment="1">
      <alignment horizontal="left"/>
    </xf>
    <xf numFmtId="0" fontId="7" fillId="0" borderId="0" xfId="37" applyFont="1" applyAlignment="1">
      <alignment horizontal="center"/>
    </xf>
    <xf numFmtId="0" fontId="7" fillId="0" borderId="0" xfId="37" applyFont="1" applyAlignment="1" applyProtection="1">
      <alignment horizontal="left"/>
      <protection locked="0"/>
    </xf>
    <xf numFmtId="0" fontId="2" fillId="0" borderId="10" xfId="37" applyBorder="1" applyAlignment="1">
      <alignment horizontal="center" wrapText="1"/>
    </xf>
    <xf numFmtId="0" fontId="2" fillId="0" borderId="11" xfId="37" applyBorder="1" applyAlignment="1">
      <alignment horizontal="center" wrapText="1"/>
    </xf>
    <xf numFmtId="0" fontId="2" fillId="0" borderId="12" xfId="37" applyBorder="1" applyAlignment="1">
      <alignment horizontal="center" wrapText="1"/>
    </xf>
    <xf numFmtId="0" fontId="2" fillId="0" borderId="13" xfId="37" applyBorder="1" applyAlignment="1">
      <alignment horizontal="center" wrapText="1"/>
    </xf>
    <xf numFmtId="0" fontId="6" fillId="0" borderId="0" xfId="37" applyFont="1" applyAlignment="1">
      <alignment horizontal="center"/>
    </xf>
    <xf numFmtId="0" fontId="6" fillId="0" borderId="0" xfId="37" applyFont="1" applyAlignment="1">
      <alignment horizontal="left"/>
    </xf>
    <xf numFmtId="0" fontId="7" fillId="0" borderId="0" xfId="37" applyFont="1" applyProtection="1">
      <protection locked="0"/>
    </xf>
    <xf numFmtId="0" fontId="7" fillId="0" borderId="0" xfId="37" applyFont="1" applyAlignment="1" applyProtection="1">
      <alignment horizontal="center"/>
      <protection locked="0"/>
    </xf>
    <xf numFmtId="0" fontId="2" fillId="0" borderId="0" xfId="37" applyProtection="1">
      <protection locked="0"/>
    </xf>
    <xf numFmtId="10" fontId="7" fillId="0" borderId="0" xfId="37" applyNumberFormat="1" applyFont="1" applyAlignment="1" applyProtection="1">
      <alignment horizontal="center"/>
      <protection locked="0"/>
    </xf>
    <xf numFmtId="0" fontId="0" fillId="0" borderId="0" xfId="0" applyProtection="1">
      <protection locked="0"/>
    </xf>
    <xf numFmtId="0" fontId="2" fillId="0" borderId="0" xfId="37" applyAlignment="1" applyProtection="1">
      <alignment horizontal="center"/>
      <protection locked="0"/>
    </xf>
    <xf numFmtId="49" fontId="2" fillId="0" borderId="0" xfId="37" applyNumberFormat="1" applyAlignment="1" applyProtection="1">
      <alignment horizontal="center"/>
      <protection locked="0"/>
    </xf>
    <xf numFmtId="0" fontId="2" fillId="0" borderId="5" xfId="37" applyBorder="1" applyProtection="1">
      <protection locked="0"/>
    </xf>
    <xf numFmtId="0" fontId="18" fillId="0" borderId="0" xfId="37" applyFont="1" applyProtection="1">
      <protection locked="0"/>
    </xf>
    <xf numFmtId="0" fontId="0" fillId="0" borderId="0" xfId="0" applyAlignment="1" applyProtection="1">
      <alignment wrapText="1"/>
      <protection locked="0"/>
    </xf>
    <xf numFmtId="49" fontId="28" fillId="0" borderId="5" xfId="37" applyNumberFormat="1" applyFont="1" applyBorder="1" applyAlignment="1" applyProtection="1">
      <alignment wrapText="1"/>
      <protection locked="0"/>
    </xf>
    <xf numFmtId="10" fontId="2" fillId="0" borderId="0" xfId="37" applyNumberFormat="1" applyAlignment="1" applyProtection="1">
      <alignment horizontal="center"/>
      <protection locked="0"/>
    </xf>
    <xf numFmtId="0" fontId="2" fillId="0" borderId="0" xfId="37" applyAlignment="1" applyProtection="1">
      <alignment horizontal="right"/>
      <protection locked="0"/>
    </xf>
    <xf numFmtId="0" fontId="0" fillId="0" borderId="0" xfId="0" applyAlignment="1" applyProtection="1">
      <alignment horizontal="center"/>
      <protection locked="0"/>
    </xf>
    <xf numFmtId="0" fontId="0" fillId="0" borderId="14" xfId="0" applyBorder="1"/>
    <xf numFmtId="0" fontId="2" fillId="0" borderId="14" xfId="37" applyBorder="1"/>
    <xf numFmtId="0" fontId="41" fillId="0" borderId="14" xfId="37" applyFont="1" applyBorder="1" applyAlignment="1">
      <alignment horizontal="left"/>
    </xf>
    <xf numFmtId="2" fontId="2" fillId="0" borderId="14" xfId="37" applyNumberFormat="1" applyBorder="1" applyAlignment="1">
      <alignment horizontal="left"/>
    </xf>
    <xf numFmtId="0" fontId="36" fillId="0" borderId="14" xfId="37" applyFont="1" applyBorder="1" applyAlignment="1">
      <alignment horizontal="left"/>
    </xf>
    <xf numFmtId="0" fontId="5" fillId="0" borderId="14" xfId="37" applyFont="1" applyBorder="1" applyAlignment="1">
      <alignment horizontal="left"/>
    </xf>
    <xf numFmtId="0" fontId="3" fillId="0" borderId="14" xfId="37" applyFont="1" applyBorder="1" applyAlignment="1">
      <alignment horizontal="left"/>
    </xf>
    <xf numFmtId="2" fontId="20" fillId="0" borderId="14" xfId="37" applyNumberFormat="1" applyFont="1" applyBorder="1" applyAlignment="1">
      <alignment horizontal="center" vertical="center" wrapText="1"/>
    </xf>
    <xf numFmtId="166" fontId="22" fillId="0" borderId="14" xfId="37" applyNumberFormat="1" applyFont="1" applyBorder="1" applyAlignment="1">
      <alignment horizontal="center"/>
    </xf>
    <xf numFmtId="2" fontId="3" fillId="0" borderId="14" xfId="37" applyNumberFormat="1" applyFont="1" applyBorder="1" applyAlignment="1">
      <alignment horizontal="center"/>
    </xf>
    <xf numFmtId="2" fontId="2" fillId="0" borderId="14" xfId="37" applyNumberFormat="1" applyBorder="1" applyAlignment="1">
      <alignment horizontal="center"/>
    </xf>
    <xf numFmtId="0" fontId="2" fillId="0" borderId="14" xfId="37" applyBorder="1" applyAlignment="1">
      <alignment horizontal="left"/>
    </xf>
    <xf numFmtId="0" fontId="2" fillId="0" borderId="16" xfId="37" applyBorder="1" applyAlignment="1">
      <alignment horizontal="left"/>
    </xf>
    <xf numFmtId="2" fontId="2" fillId="0" borderId="16" xfId="37" applyNumberFormat="1" applyBorder="1" applyAlignment="1">
      <alignment horizontal="center"/>
    </xf>
    <xf numFmtId="0" fontId="3" fillId="0" borderId="17" xfId="37" applyFont="1" applyBorder="1" applyAlignment="1">
      <alignment horizontal="left"/>
    </xf>
    <xf numFmtId="0" fontId="36" fillId="0" borderId="17" xfId="37" applyFont="1" applyBorder="1" applyAlignment="1">
      <alignment horizontal="left"/>
    </xf>
    <xf numFmtId="0" fontId="3" fillId="0" borderId="9" xfId="37" applyFont="1" applyBorder="1" applyAlignment="1">
      <alignment horizontal="right"/>
    </xf>
    <xf numFmtId="0" fontId="3" fillId="0" borderId="9" xfId="37" applyFont="1" applyBorder="1" applyAlignment="1">
      <alignment horizontal="left"/>
    </xf>
    <xf numFmtId="0" fontId="3" fillId="3" borderId="9" xfId="37" applyFont="1" applyFill="1" applyBorder="1" applyAlignment="1">
      <alignment horizontal="center"/>
    </xf>
    <xf numFmtId="0" fontId="21" fillId="0" borderId="14" xfId="37" applyFont="1" applyBorder="1" applyAlignment="1">
      <alignment horizontal="left"/>
    </xf>
    <xf numFmtId="0" fontId="3" fillId="0" borderId="14" xfId="37" applyFont="1" applyBorder="1" applyAlignment="1">
      <alignment horizontal="right"/>
    </xf>
    <xf numFmtId="0" fontId="35" fillId="0" borderId="14" xfId="37" applyFont="1" applyBorder="1" applyAlignment="1">
      <alignment horizontal="right"/>
    </xf>
    <xf numFmtId="0" fontId="3" fillId="0" borderId="14" xfId="37" applyFont="1" applyBorder="1" applyAlignment="1">
      <alignment horizontal="center"/>
    </xf>
    <xf numFmtId="0" fontId="3" fillId="0" borderId="14" xfId="37" applyFont="1" applyBorder="1"/>
    <xf numFmtId="0" fontId="2" fillId="0" borderId="17" xfId="37" applyBorder="1" applyAlignment="1">
      <alignment horizontal="left"/>
    </xf>
    <xf numFmtId="2" fontId="2" fillId="0" borderId="17" xfId="37" applyNumberFormat="1" applyBorder="1" applyAlignment="1">
      <alignment horizontal="left"/>
    </xf>
    <xf numFmtId="0" fontId="2" fillId="0" borderId="17" xfId="37" applyBorder="1"/>
    <xf numFmtId="166" fontId="22" fillId="0" borderId="20" xfId="37" applyNumberFormat="1" applyFont="1" applyBorder="1" applyAlignment="1">
      <alignment horizontal="center"/>
    </xf>
    <xf numFmtId="0" fontId="2" fillId="0" borderId="15" xfId="37" applyBorder="1"/>
    <xf numFmtId="0" fontId="5" fillId="0" borderId="17" xfId="37" applyFont="1" applyBorder="1" applyAlignment="1">
      <alignment horizontal="left"/>
    </xf>
    <xf numFmtId="0" fontId="35" fillId="0" borderId="17" xfId="37" applyFont="1" applyBorder="1" applyAlignment="1">
      <alignment horizontal="right"/>
    </xf>
    <xf numFmtId="0" fontId="3" fillId="0" borderId="17" xfId="37" applyFont="1" applyBorder="1" applyAlignment="1">
      <alignment horizontal="center"/>
    </xf>
    <xf numFmtId="0" fontId="5" fillId="0" borderId="16" xfId="37" applyFont="1" applyBorder="1" applyAlignment="1">
      <alignment horizontal="left"/>
    </xf>
    <xf numFmtId="0" fontId="35" fillId="0" borderId="16" xfId="37" applyFont="1" applyBorder="1" applyAlignment="1">
      <alignment horizontal="right"/>
    </xf>
    <xf numFmtId="0" fontId="3" fillId="0" borderId="22" xfId="37" applyFont="1" applyBorder="1" applyAlignment="1">
      <alignment horizontal="left"/>
    </xf>
    <xf numFmtId="2" fontId="3" fillId="0" borderId="15" xfId="37" applyNumberFormat="1" applyFont="1" applyBorder="1" applyAlignment="1">
      <alignment horizontal="center"/>
    </xf>
    <xf numFmtId="2" fontId="2" fillId="0" borderId="15" xfId="37" applyNumberFormat="1" applyBorder="1" applyAlignment="1">
      <alignment horizontal="left"/>
    </xf>
    <xf numFmtId="2" fontId="3" fillId="0" borderId="20" xfId="37" applyNumberFormat="1" applyFont="1" applyBorder="1" applyAlignment="1">
      <alignment horizontal="center"/>
    </xf>
    <xf numFmtId="166" fontId="22" fillId="0" borderId="17" xfId="37" applyNumberFormat="1" applyFont="1" applyBorder="1" applyAlignment="1">
      <alignment horizontal="center"/>
    </xf>
    <xf numFmtId="0" fontId="2" fillId="0" borderId="23" xfId="37" applyBorder="1" applyAlignment="1">
      <alignment horizontal="left"/>
    </xf>
    <xf numFmtId="0" fontId="3" fillId="0" borderId="24" xfId="37" applyFont="1" applyBorder="1" applyAlignment="1">
      <alignment horizontal="left"/>
    </xf>
    <xf numFmtId="2" fontId="20" fillId="0" borderId="18" xfId="37" applyNumberFormat="1" applyFont="1" applyBorder="1" applyAlignment="1">
      <alignment horizontal="center" vertical="center" wrapText="1"/>
    </xf>
    <xf numFmtId="165" fontId="22" fillId="2" borderId="9" xfId="37" applyNumberFormat="1" applyFont="1" applyFill="1" applyBorder="1" applyAlignment="1">
      <alignment horizontal="center"/>
    </xf>
    <xf numFmtId="165" fontId="2" fillId="0" borderId="25" xfId="37" applyNumberFormat="1" applyBorder="1" applyAlignment="1">
      <alignment horizontal="center" wrapText="1"/>
    </xf>
    <xf numFmtId="165" fontId="2" fillId="0" borderId="26" xfId="37" applyNumberFormat="1" applyBorder="1" applyAlignment="1">
      <alignment horizontal="center" wrapText="1"/>
    </xf>
    <xf numFmtId="168" fontId="22" fillId="2" borderId="9" xfId="43" applyNumberFormat="1" applyFont="1" applyFill="1" applyBorder="1" applyAlignment="1" applyProtection="1">
      <alignment horizontal="center"/>
    </xf>
    <xf numFmtId="0" fontId="3" fillId="4" borderId="9" xfId="37" applyFont="1" applyFill="1" applyBorder="1" applyAlignment="1">
      <alignment horizontal="center"/>
    </xf>
    <xf numFmtId="2" fontId="3" fillId="4" borderId="9" xfId="37" applyNumberFormat="1" applyFont="1" applyFill="1" applyBorder="1" applyAlignment="1">
      <alignment horizontal="center"/>
    </xf>
    <xf numFmtId="0" fontId="43" fillId="0" borderId="14" xfId="37" applyFont="1" applyBorder="1" applyAlignment="1" applyProtection="1">
      <alignment horizontal="left"/>
      <protection locked="0"/>
    </xf>
    <xf numFmtId="0" fontId="3" fillId="0" borderId="27" xfId="37" applyFont="1" applyBorder="1" applyAlignment="1">
      <alignment horizontal="center"/>
    </xf>
    <xf numFmtId="0" fontId="21" fillId="0" borderId="14" xfId="37" applyFont="1" applyBorder="1" applyAlignment="1">
      <alignment horizontal="center" vertical="center"/>
    </xf>
    <xf numFmtId="2" fontId="4" fillId="0" borderId="14" xfId="37" applyNumberFormat="1" applyFont="1" applyBorder="1" applyAlignment="1">
      <alignment horizontal="center" vertical="center" wrapText="1"/>
    </xf>
    <xf numFmtId="10" fontId="2" fillId="0" borderId="14" xfId="43" applyNumberFormat="1" applyFont="1" applyFill="1" applyBorder="1" applyProtection="1"/>
    <xf numFmtId="10" fontId="2" fillId="0" borderId="9" xfId="43" applyNumberFormat="1" applyFont="1" applyFill="1" applyBorder="1" applyAlignment="1" applyProtection="1">
      <alignment horizontal="right"/>
    </xf>
    <xf numFmtId="0" fontId="2" fillId="0" borderId="9" xfId="37" applyBorder="1"/>
    <xf numFmtId="0" fontId="2" fillId="0" borderId="9" xfId="37" applyBorder="1" applyAlignment="1">
      <alignment horizontal="center"/>
    </xf>
    <xf numFmtId="0" fontId="2" fillId="3" borderId="9" xfId="37" applyFill="1" applyBorder="1"/>
    <xf numFmtId="0" fontId="2" fillId="3" borderId="28" xfId="37" applyFill="1" applyBorder="1"/>
    <xf numFmtId="166" fontId="2" fillId="3" borderId="9" xfId="37" applyNumberFormat="1" applyFill="1" applyBorder="1" applyAlignment="1">
      <alignment horizontal="right"/>
    </xf>
    <xf numFmtId="166" fontId="2" fillId="3" borderId="9" xfId="37" applyNumberFormat="1" applyFill="1" applyBorder="1"/>
    <xf numFmtId="2" fontId="2" fillId="3" borderId="9" xfId="37" applyNumberFormat="1" applyFill="1" applyBorder="1" applyAlignment="1">
      <alignment horizontal="right"/>
    </xf>
    <xf numFmtId="2" fontId="2" fillId="3" borderId="9" xfId="37" applyNumberFormat="1" applyFill="1" applyBorder="1" applyAlignment="1">
      <alignment horizontal="center"/>
    </xf>
    <xf numFmtId="2" fontId="2" fillId="0" borderId="0" xfId="37" applyNumberFormat="1" applyAlignment="1">
      <alignment horizontal="center"/>
    </xf>
    <xf numFmtId="0" fontId="2" fillId="3" borderId="9" xfId="37" applyFill="1" applyBorder="1" applyAlignment="1">
      <alignment horizontal="left"/>
    </xf>
    <xf numFmtId="0" fontId="2" fillId="3" borderId="28" xfId="37" applyFill="1" applyBorder="1" applyAlignment="1">
      <alignment horizontal="left"/>
    </xf>
    <xf numFmtId="164" fontId="2" fillId="3" borderId="9" xfId="37" applyNumberFormat="1" applyFill="1" applyBorder="1" applyAlignment="1">
      <alignment horizontal="right"/>
    </xf>
    <xf numFmtId="164" fontId="2" fillId="3" borderId="9" xfId="37" applyNumberFormat="1" applyFill="1" applyBorder="1" applyAlignment="1">
      <alignment horizontal="center"/>
    </xf>
    <xf numFmtId="0" fontId="2" fillId="0" borderId="9" xfId="37" applyBorder="1" applyAlignment="1">
      <alignment horizontal="left"/>
    </xf>
    <xf numFmtId="2" fontId="2" fillId="0" borderId="9" xfId="37" applyNumberFormat="1" applyBorder="1" applyAlignment="1">
      <alignment horizontal="center"/>
    </xf>
    <xf numFmtId="2" fontId="2" fillId="3" borderId="28" xfId="37" applyNumberFormat="1" applyFill="1" applyBorder="1" applyAlignment="1">
      <alignment horizontal="left"/>
    </xf>
    <xf numFmtId="0" fontId="2" fillId="0" borderId="9" xfId="37" applyBorder="1" applyAlignment="1">
      <alignment horizontal="center" vertical="center"/>
    </xf>
    <xf numFmtId="166" fontId="2" fillId="0" borderId="9" xfId="37" applyNumberFormat="1" applyBorder="1" applyAlignment="1">
      <alignment horizontal="center" vertical="center"/>
    </xf>
    <xf numFmtId="10" fontId="2" fillId="0" borderId="9" xfId="43" applyNumberFormat="1" applyFont="1" applyFill="1" applyBorder="1" applyAlignment="1" applyProtection="1">
      <alignment horizontal="center" vertical="center"/>
    </xf>
    <xf numFmtId="1" fontId="2" fillId="0" borderId="9" xfId="37" applyNumberFormat="1" applyBorder="1" applyAlignment="1">
      <alignment horizontal="center" vertical="center"/>
    </xf>
    <xf numFmtId="166" fontId="2" fillId="3" borderId="28" xfId="37" applyNumberFormat="1" applyFill="1" applyBorder="1" applyAlignment="1">
      <alignment horizontal="left"/>
    </xf>
    <xf numFmtId="0" fontId="2" fillId="3" borderId="0" xfId="37" applyFill="1" applyAlignment="1">
      <alignment horizontal="left"/>
    </xf>
    <xf numFmtId="166" fontId="2" fillId="3" borderId="0" xfId="37" applyNumberFormat="1" applyFill="1" applyAlignment="1">
      <alignment horizontal="left"/>
    </xf>
    <xf numFmtId="0" fontId="2" fillId="0" borderId="31" xfId="37" applyBorder="1" applyAlignment="1">
      <alignment horizontal="left"/>
    </xf>
    <xf numFmtId="0" fontId="2" fillId="0" borderId="32" xfId="37" applyBorder="1" applyAlignment="1">
      <alignment horizontal="left"/>
    </xf>
    <xf numFmtId="0" fontId="2" fillId="0" borderId="32" xfId="37" applyBorder="1"/>
    <xf numFmtId="0" fontId="2" fillId="36" borderId="15" xfId="37" applyFill="1" applyBorder="1"/>
    <xf numFmtId="0" fontId="2" fillId="36" borderId="14" xfId="37" applyFill="1" applyBorder="1" applyAlignment="1">
      <alignment horizontal="center"/>
    </xf>
    <xf numFmtId="0" fontId="0" fillId="36" borderId="0" xfId="0" applyFill="1"/>
    <xf numFmtId="166" fontId="22" fillId="36" borderId="14" xfId="37" applyNumberFormat="1" applyFont="1" applyFill="1" applyBorder="1" applyAlignment="1">
      <alignment horizontal="center"/>
    </xf>
    <xf numFmtId="0" fontId="2" fillId="36" borderId="14" xfId="37" applyFill="1" applyBorder="1"/>
    <xf numFmtId="0" fontId="2" fillId="0" borderId="0" xfId="37" applyAlignment="1" applyProtection="1">
      <alignment horizontal="left"/>
      <protection locked="0"/>
    </xf>
    <xf numFmtId="0" fontId="0" fillId="0" borderId="0" xfId="0" applyAlignment="1" applyProtection="1">
      <alignment horizontal="left"/>
      <protection locked="0"/>
    </xf>
    <xf numFmtId="20" fontId="0" fillId="0" borderId="0" xfId="0" applyNumberFormat="1" applyAlignment="1">
      <alignment horizontal="left"/>
    </xf>
    <xf numFmtId="15" fontId="2" fillId="0" borderId="0" xfId="37" applyNumberFormat="1" applyAlignment="1">
      <alignment horizontal="left"/>
    </xf>
    <xf numFmtId="15" fontId="2" fillId="0" borderId="0" xfId="37" applyNumberFormat="1" applyAlignment="1" applyProtection="1">
      <alignment horizontal="left"/>
      <protection locked="0"/>
    </xf>
    <xf numFmtId="0" fontId="36" fillId="0" borderId="17" xfId="37" applyFont="1" applyBorder="1" applyAlignment="1">
      <alignment horizontal="right" vertical="center"/>
    </xf>
    <xf numFmtId="0" fontId="36" fillId="0" borderId="52" xfId="37" applyFont="1" applyBorder="1" applyAlignment="1">
      <alignment horizontal="right" vertical="center"/>
    </xf>
    <xf numFmtId="0" fontId="36" fillId="0" borderId="50" xfId="37" applyFont="1" applyBorder="1" applyAlignment="1">
      <alignment horizontal="right" vertical="center"/>
    </xf>
    <xf numFmtId="0" fontId="2" fillId="0" borderId="14" xfId="37" applyBorder="1" applyAlignment="1">
      <alignment vertical="center"/>
    </xf>
    <xf numFmtId="0" fontId="3" fillId="4" borderId="9" xfId="37" applyFont="1" applyFill="1" applyBorder="1" applyAlignment="1" applyProtection="1">
      <alignment horizontal="center"/>
      <protection locked="0"/>
    </xf>
    <xf numFmtId="2" fontId="22" fillId="2" borderId="9" xfId="37" applyNumberFormat="1" applyFont="1" applyFill="1" applyBorder="1" applyAlignment="1" applyProtection="1">
      <alignment horizontal="center"/>
      <protection locked="0"/>
    </xf>
    <xf numFmtId="2" fontId="3" fillId="4" borderId="9" xfId="37" applyNumberFormat="1" applyFont="1" applyFill="1" applyBorder="1" applyAlignment="1" applyProtection="1">
      <alignment horizontal="center"/>
      <protection locked="0"/>
    </xf>
    <xf numFmtId="0" fontId="0" fillId="0" borderId="0" xfId="0" applyAlignment="1">
      <alignment horizontal="left"/>
    </xf>
    <xf numFmtId="49" fontId="3" fillId="0" borderId="14" xfId="37" applyNumberFormat="1" applyFont="1" applyBorder="1" applyAlignment="1">
      <alignment horizontal="left"/>
    </xf>
    <xf numFmtId="49" fontId="0" fillId="0" borderId="0" xfId="0" applyNumberFormat="1"/>
    <xf numFmtId="0" fontId="6" fillId="0" borderId="14" xfId="37" applyFont="1" applyBorder="1"/>
    <xf numFmtId="0" fontId="2" fillId="0" borderId="18" xfId="37" applyBorder="1"/>
    <xf numFmtId="0" fontId="8" fillId="0" borderId="14" xfId="37" applyFont="1" applyBorder="1" applyAlignment="1">
      <alignment horizontal="left"/>
    </xf>
    <xf numFmtId="0" fontId="8" fillId="0" borderId="16" xfId="37" applyFont="1" applyBorder="1" applyAlignment="1">
      <alignment horizontal="center" vertical="center"/>
    </xf>
    <xf numFmtId="0" fontId="6" fillId="0" borderId="18" xfId="37" applyFont="1" applyBorder="1"/>
    <xf numFmtId="0" fontId="0" fillId="0" borderId="18" xfId="0" applyBorder="1"/>
    <xf numFmtId="0" fontId="6" fillId="0" borderId="18" xfId="37" applyFont="1" applyBorder="1" applyAlignment="1">
      <alignment horizontal="center"/>
    </xf>
    <xf numFmtId="2" fontId="2" fillId="0" borderId="54" xfId="37" applyNumberFormat="1" applyBorder="1" applyAlignment="1">
      <alignment horizontal="left"/>
    </xf>
    <xf numFmtId="0" fontId="21" fillId="0" borderId="18" xfId="37" applyFont="1" applyBorder="1" applyAlignment="1">
      <alignment horizontal="right"/>
    </xf>
    <xf numFmtId="0" fontId="21" fillId="0" borderId="55" xfId="37" applyFont="1" applyBorder="1" applyAlignment="1">
      <alignment horizontal="right"/>
    </xf>
    <xf numFmtId="2" fontId="20" fillId="0" borderId="55" xfId="37" applyNumberFormat="1" applyFont="1" applyBorder="1" applyAlignment="1">
      <alignment horizontal="center" vertical="center" wrapText="1"/>
    </xf>
    <xf numFmtId="2" fontId="39" fillId="0" borderId="55" xfId="37" applyNumberFormat="1" applyFont="1" applyBorder="1" applyAlignment="1">
      <alignment horizontal="center" vertical="center" wrapText="1"/>
    </xf>
    <xf numFmtId="166" fontId="22" fillId="0" borderId="55" xfId="37" applyNumberFormat="1" applyFont="1" applyBorder="1" applyAlignment="1">
      <alignment horizontal="center"/>
    </xf>
    <xf numFmtId="2" fontId="2" fillId="0" borderId="55" xfId="37" applyNumberFormat="1" applyBorder="1" applyAlignment="1">
      <alignment horizontal="center"/>
    </xf>
    <xf numFmtId="2" fontId="2" fillId="0" borderId="18" xfId="37" applyNumberFormat="1" applyBorder="1" applyAlignment="1">
      <alignment horizontal="center"/>
    </xf>
    <xf numFmtId="0" fontId="4" fillId="37" borderId="53" xfId="37" applyFont="1" applyFill="1" applyBorder="1" applyAlignment="1" applyProtection="1">
      <alignment horizontal="center" vertical="center"/>
      <protection locked="0"/>
    </xf>
    <xf numFmtId="49" fontId="31" fillId="0" borderId="5" xfId="37" applyNumberFormat="1" applyFont="1" applyBorder="1" applyAlignment="1">
      <alignment horizontal="center" wrapText="1"/>
    </xf>
    <xf numFmtId="0" fontId="0" fillId="0" borderId="0" xfId="0" applyAlignment="1">
      <alignment vertical="top"/>
    </xf>
    <xf numFmtId="166" fontId="2" fillId="0" borderId="9" xfId="37" applyNumberFormat="1" applyBorder="1"/>
    <xf numFmtId="10" fontId="2" fillId="0" borderId="9" xfId="46" applyNumberFormat="1" applyFont="1" applyFill="1" applyBorder="1" applyAlignment="1" applyProtection="1">
      <alignment horizontal="right"/>
    </xf>
    <xf numFmtId="0" fontId="0" fillId="0" borderId="0" xfId="0" applyAlignment="1">
      <alignment horizontal="left" vertical="top" wrapText="1"/>
    </xf>
    <xf numFmtId="0" fontId="35" fillId="0" borderId="9" xfId="37" applyFont="1" applyBorder="1"/>
    <xf numFmtId="49" fontId="2" fillId="0" borderId="0" xfId="37" applyNumberFormat="1"/>
    <xf numFmtId="0" fontId="0" fillId="0" borderId="56" xfId="0" applyBorder="1"/>
    <xf numFmtId="0" fontId="2" fillId="36" borderId="2" xfId="37" applyFill="1" applyBorder="1"/>
    <xf numFmtId="0" fontId="2" fillId="36" borderId="4" xfId="37" applyFill="1" applyBorder="1"/>
    <xf numFmtId="0" fontId="25" fillId="38" borderId="9" xfId="37" applyFont="1" applyFill="1" applyBorder="1" applyAlignment="1" applyProtection="1">
      <alignment horizontal="center" vertical="center" wrapText="1"/>
      <protection locked="0"/>
    </xf>
    <xf numFmtId="0" fontId="2" fillId="36" borderId="1" xfId="37" applyFill="1" applyBorder="1"/>
    <xf numFmtId="0" fontId="2" fillId="36" borderId="3" xfId="37" applyFill="1" applyBorder="1"/>
    <xf numFmtId="0" fontId="27" fillId="36" borderId="0" xfId="0" applyFont="1" applyFill="1" applyAlignment="1">
      <alignment horizontal="center"/>
    </xf>
    <xf numFmtId="0" fontId="27" fillId="36" borderId="5" xfId="0" applyFont="1" applyFill="1" applyBorder="1" applyAlignment="1">
      <alignment horizontal="center"/>
    </xf>
    <xf numFmtId="0" fontId="67" fillId="36" borderId="0" xfId="0" applyFont="1" applyFill="1" applyAlignment="1">
      <alignment horizontal="center"/>
    </xf>
    <xf numFmtId="0" fontId="66" fillId="0" borderId="0" xfId="0" applyFont="1"/>
    <xf numFmtId="0" fontId="7" fillId="0" borderId="0" xfId="0" applyFont="1"/>
    <xf numFmtId="0" fontId="68" fillId="0" borderId="0" xfId="0" applyFont="1" applyAlignment="1">
      <alignment horizontal="center"/>
    </xf>
    <xf numFmtId="0" fontId="66" fillId="0" borderId="0" xfId="0" applyFont="1" applyAlignment="1" applyProtection="1">
      <alignment horizontal="center"/>
      <protection locked="0"/>
    </xf>
    <xf numFmtId="14" fontId="66" fillId="0" borderId="0" xfId="0" applyNumberFormat="1" applyFont="1" applyAlignment="1" applyProtection="1">
      <alignment horizontal="center"/>
      <protection locked="0"/>
    </xf>
    <xf numFmtId="0" fontId="66" fillId="0" borderId="0" xfId="0" applyFont="1" applyAlignment="1">
      <alignment horizontal="center"/>
    </xf>
    <xf numFmtId="10" fontId="66" fillId="0" borderId="0" xfId="43" applyNumberFormat="1" applyFont="1" applyBorder="1" applyAlignment="1">
      <alignment horizontal="center"/>
    </xf>
    <xf numFmtId="0" fontId="68" fillId="0" borderId="56" xfId="0" applyFont="1" applyBorder="1"/>
    <xf numFmtId="0" fontId="66" fillId="39" borderId="29" xfId="0" applyFont="1" applyFill="1" applyBorder="1" applyProtection="1">
      <protection locked="0"/>
    </xf>
    <xf numFmtId="0" fontId="66" fillId="0" borderId="29" xfId="0" applyFont="1" applyBorder="1" applyAlignment="1">
      <alignment horizontal="right"/>
    </xf>
    <xf numFmtId="0" fontId="68" fillId="0" borderId="0" xfId="0" applyFont="1"/>
    <xf numFmtId="0" fontId="66" fillId="0" borderId="0" xfId="0" applyFont="1" applyProtection="1">
      <protection locked="0"/>
    </xf>
    <xf numFmtId="14" fontId="66" fillId="0" borderId="0" xfId="0" applyNumberFormat="1" applyFont="1" applyProtection="1">
      <protection locked="0"/>
    </xf>
    <xf numFmtId="0" fontId="69" fillId="0" borderId="0" xfId="30" applyFont="1" applyFill="1" applyBorder="1" applyAlignment="1">
      <alignment horizontal="center"/>
    </xf>
    <xf numFmtId="0" fontId="66" fillId="0" borderId="56" xfId="0" applyFont="1" applyBorder="1"/>
    <xf numFmtId="0" fontId="0" fillId="0" borderId="0" xfId="0" applyAlignment="1">
      <alignment horizontal="center"/>
    </xf>
    <xf numFmtId="0" fontId="69" fillId="0" borderId="0" xfId="30" applyFont="1" applyFill="1" applyBorder="1" applyAlignment="1"/>
    <xf numFmtId="0" fontId="66" fillId="0" borderId="0" xfId="0" applyFont="1" applyAlignment="1">
      <alignment horizontal="right"/>
    </xf>
    <xf numFmtId="0" fontId="71" fillId="0" borderId="0" xfId="0" applyFont="1" applyAlignment="1">
      <alignment horizontal="center" vertical="top" wrapText="1"/>
    </xf>
    <xf numFmtId="0" fontId="72" fillId="0" borderId="0" xfId="0" applyFont="1" applyAlignment="1">
      <alignment horizontal="center" vertical="top" wrapText="1"/>
    </xf>
    <xf numFmtId="0" fontId="70" fillId="0" borderId="9" xfId="0" applyFont="1" applyBorder="1" applyAlignment="1">
      <alignment horizontal="center" vertical="top" wrapText="1"/>
    </xf>
    <xf numFmtId="0" fontId="68" fillId="0" borderId="9" xfId="0" applyFont="1" applyBorder="1" applyAlignment="1">
      <alignment horizontal="center"/>
    </xf>
    <xf numFmtId="0" fontId="66" fillId="40" borderId="28" xfId="0" applyFont="1" applyFill="1" applyBorder="1" applyProtection="1">
      <protection locked="0"/>
    </xf>
    <xf numFmtId="0" fontId="66" fillId="40" borderId="29" xfId="0" applyFont="1" applyFill="1" applyBorder="1" applyProtection="1">
      <protection locked="0"/>
    </xf>
    <xf numFmtId="0" fontId="66" fillId="40" borderId="30" xfId="0" applyFont="1" applyFill="1" applyBorder="1" applyProtection="1">
      <protection locked="0"/>
    </xf>
    <xf numFmtId="0" fontId="11" fillId="0" borderId="0" xfId="30" applyFont="1" applyFill="1" applyBorder="1" applyAlignment="1"/>
    <xf numFmtId="10" fontId="73" fillId="0" borderId="0" xfId="0" applyNumberFormat="1" applyFont="1"/>
    <xf numFmtId="0" fontId="66" fillId="40" borderId="9" xfId="0" applyFont="1" applyFill="1" applyBorder="1" applyAlignment="1">
      <alignment horizontal="center"/>
    </xf>
    <xf numFmtId="2" fontId="66" fillId="0" borderId="0" xfId="0" applyNumberFormat="1" applyFont="1" applyAlignment="1">
      <alignment horizontal="center"/>
    </xf>
    <xf numFmtId="0" fontId="9" fillId="0" borderId="0" xfId="37" applyFont="1" applyAlignment="1">
      <alignment vertical="top" wrapText="1"/>
    </xf>
    <xf numFmtId="0" fontId="7" fillId="0" borderId="0" xfId="37" applyFont="1" applyAlignment="1">
      <alignment horizontal="left" vertical="top" wrapText="1"/>
    </xf>
    <xf numFmtId="0" fontId="7" fillId="0" borderId="0" xfId="37" applyFont="1" applyAlignment="1" applyProtection="1">
      <alignment vertical="top" wrapText="1"/>
      <protection locked="0"/>
    </xf>
    <xf numFmtId="167" fontId="14" fillId="0" borderId="0" xfId="37" applyNumberFormat="1" applyFont="1" applyAlignment="1">
      <alignment horizontal="left"/>
    </xf>
    <xf numFmtId="14" fontId="66" fillId="0" borderId="0" xfId="0" applyNumberFormat="1" applyFont="1" applyAlignment="1">
      <alignment horizontal="center"/>
    </xf>
    <xf numFmtId="0" fontId="66" fillId="0" borderId="57" xfId="0" applyFont="1" applyBorder="1"/>
    <xf numFmtId="0" fontId="66" fillId="0" borderId="58" xfId="0" applyFont="1" applyBorder="1"/>
    <xf numFmtId="0" fontId="74" fillId="0" borderId="58" xfId="0" applyFont="1" applyBorder="1"/>
    <xf numFmtId="0" fontId="74" fillId="0" borderId="59" xfId="0" applyFont="1" applyBorder="1"/>
    <xf numFmtId="0" fontId="74" fillId="0" borderId="0" xfId="0" applyFont="1"/>
    <xf numFmtId="0" fontId="66" fillId="0" borderId="60" xfId="0" applyFont="1" applyBorder="1"/>
    <xf numFmtId="0" fontId="67" fillId="0" borderId="0" xfId="0" applyFont="1" applyAlignment="1">
      <alignment horizontal="center"/>
    </xf>
    <xf numFmtId="0" fontId="74" fillId="0" borderId="61" xfId="0" applyFont="1" applyBorder="1"/>
    <xf numFmtId="0" fontId="74" fillId="0" borderId="56" xfId="0" applyFont="1" applyBorder="1"/>
    <xf numFmtId="14" fontId="66" fillId="0" borderId="0" xfId="0" applyNumberFormat="1" applyFont="1"/>
    <xf numFmtId="0" fontId="66" fillId="0" borderId="60" xfId="0" applyFont="1" applyBorder="1" applyAlignment="1">
      <alignment vertical="top"/>
    </xf>
    <xf numFmtId="0" fontId="70" fillId="0" borderId="56" xfId="0" applyFont="1" applyBorder="1" applyAlignment="1">
      <alignment vertical="top"/>
    </xf>
    <xf numFmtId="0" fontId="74" fillId="0" borderId="61" xfId="0" applyFont="1" applyBorder="1" applyAlignment="1">
      <alignment vertical="top"/>
    </xf>
    <xf numFmtId="0" fontId="74" fillId="0" borderId="0" xfId="0" applyFont="1" applyAlignment="1">
      <alignment vertical="top"/>
    </xf>
    <xf numFmtId="0" fontId="69" fillId="0" borderId="0" xfId="30" applyFont="1" applyFill="1" applyBorder="1" applyAlignment="1" applyProtection="1"/>
    <xf numFmtId="0" fontId="69" fillId="0" borderId="0" xfId="30" applyFont="1" applyFill="1" applyBorder="1" applyAlignment="1" applyProtection="1">
      <alignment horizontal="center"/>
    </xf>
    <xf numFmtId="0" fontId="68" fillId="0" borderId="0" xfId="0" applyFont="1" applyAlignment="1">
      <alignment horizontal="center" vertical="top" wrapText="1"/>
    </xf>
    <xf numFmtId="0" fontId="68" fillId="0" borderId="0" xfId="0" applyFont="1" applyAlignment="1">
      <alignment vertical="top" wrapText="1"/>
    </xf>
    <xf numFmtId="10" fontId="66" fillId="0" borderId="0" xfId="43" applyNumberFormat="1" applyFont="1" applyFill="1" applyBorder="1" applyAlignment="1" applyProtection="1"/>
    <xf numFmtId="0" fontId="66" fillId="0" borderId="62" xfId="0" applyFont="1" applyBorder="1"/>
    <xf numFmtId="0" fontId="66" fillId="0" borderId="63" xfId="0" applyFont="1" applyBorder="1"/>
    <xf numFmtId="0" fontId="74" fillId="0" borderId="63" xfId="0" applyFont="1" applyBorder="1"/>
    <xf numFmtId="0" fontId="74" fillId="0" borderId="64" xfId="0" applyFont="1" applyBorder="1"/>
    <xf numFmtId="14" fontId="66" fillId="0" borderId="0" xfId="0" applyNumberFormat="1" applyFont="1" applyAlignment="1">
      <alignment horizontal="left"/>
    </xf>
    <xf numFmtId="0" fontId="0" fillId="41" borderId="0" xfId="0" applyFill="1"/>
    <xf numFmtId="0" fontId="66" fillId="40" borderId="29" xfId="0" applyFont="1" applyFill="1" applyBorder="1" applyAlignment="1" applyProtection="1">
      <alignment horizontal="center"/>
      <protection locked="0"/>
    </xf>
    <xf numFmtId="0" fontId="4" fillId="38" borderId="14" xfId="37" applyFont="1" applyFill="1" applyBorder="1" applyAlignment="1">
      <alignment horizontal="left"/>
    </xf>
    <xf numFmtId="0" fontId="5" fillId="38" borderId="14" xfId="37" applyFont="1" applyFill="1" applyBorder="1" applyAlignment="1">
      <alignment horizontal="left"/>
    </xf>
    <xf numFmtId="0" fontId="2" fillId="38" borderId="14" xfId="37" applyFill="1" applyBorder="1"/>
    <xf numFmtId="0" fontId="76" fillId="0" borderId="0" xfId="0" applyFont="1" applyProtection="1">
      <protection locked="0"/>
    </xf>
    <xf numFmtId="0" fontId="66" fillId="0" borderId="9" xfId="0" applyFont="1" applyBorder="1" applyAlignment="1">
      <alignment horizontal="center" vertical="top" wrapText="1"/>
    </xf>
    <xf numFmtId="2" fontId="66" fillId="40" borderId="9" xfId="43" applyNumberFormat="1" applyFont="1" applyFill="1" applyBorder="1" applyAlignment="1">
      <alignment horizontal="center"/>
    </xf>
    <xf numFmtId="0" fontId="66" fillId="0" borderId="29" xfId="0" applyFont="1" applyBorder="1"/>
    <xf numFmtId="169" fontId="73" fillId="0" borderId="0" xfId="43" applyNumberFormat="1" applyFont="1"/>
    <xf numFmtId="0" fontId="73" fillId="0" borderId="0" xfId="0" applyFont="1" applyProtection="1">
      <protection locked="0"/>
    </xf>
    <xf numFmtId="0" fontId="79" fillId="0" borderId="29" xfId="0" applyFont="1" applyBorder="1" applyProtection="1">
      <protection locked="0"/>
    </xf>
    <xf numFmtId="10" fontId="0" fillId="40" borderId="9" xfId="43" applyNumberFormat="1" applyFont="1" applyFill="1" applyBorder="1" applyAlignment="1" applyProtection="1">
      <alignment horizontal="center"/>
    </xf>
    <xf numFmtId="0" fontId="66" fillId="0" borderId="0" xfId="0" applyFont="1" applyAlignment="1">
      <alignment horizontal="left"/>
    </xf>
    <xf numFmtId="0" fontId="68" fillId="0" borderId="56" xfId="0" applyFont="1" applyBorder="1" applyAlignment="1">
      <alignment horizontal="center" vertical="top"/>
    </xf>
    <xf numFmtId="10" fontId="66" fillId="0" borderId="0" xfId="43" applyNumberFormat="1" applyFont="1" applyFill="1" applyBorder="1" applyAlignment="1" applyProtection="1">
      <alignment horizontal="center"/>
    </xf>
    <xf numFmtId="0" fontId="68" fillId="0" borderId="61" xfId="0" applyFont="1" applyBorder="1"/>
    <xf numFmtId="0" fontId="71" fillId="0" borderId="0" xfId="0" applyFont="1" applyAlignment="1">
      <alignment vertical="top" wrapText="1"/>
    </xf>
    <xf numFmtId="0" fontId="71" fillId="0" borderId="61" xfId="0" applyFont="1" applyBorder="1" applyAlignment="1">
      <alignment vertical="top" wrapText="1"/>
    </xf>
    <xf numFmtId="166" fontId="66" fillId="0" borderId="9" xfId="0" applyNumberFormat="1" applyFont="1" applyBorder="1" applyAlignment="1" applyProtection="1">
      <alignment horizontal="center"/>
      <protection locked="0"/>
    </xf>
    <xf numFmtId="0" fontId="68" fillId="0" borderId="9" xfId="0" applyFont="1" applyBorder="1" applyAlignment="1">
      <alignment horizontal="center" vertical="top" wrapText="1"/>
    </xf>
    <xf numFmtId="0" fontId="68" fillId="0" borderId="25" xfId="0" applyFont="1" applyBorder="1" applyAlignment="1">
      <alignment horizontal="center" vertical="top" wrapText="1"/>
    </xf>
    <xf numFmtId="0" fontId="66" fillId="0" borderId="12" xfId="0" applyFont="1" applyBorder="1" applyAlignment="1">
      <alignment horizontal="center"/>
    </xf>
    <xf numFmtId="2" fontId="66" fillId="40" borderId="25" xfId="43" applyNumberFormat="1" applyFont="1" applyFill="1" applyBorder="1" applyAlignment="1">
      <alignment horizontal="center"/>
    </xf>
    <xf numFmtId="0" fontId="66" fillId="0" borderId="13" xfId="0" applyFont="1" applyBorder="1" applyAlignment="1">
      <alignment horizontal="center"/>
    </xf>
    <xf numFmtId="2" fontId="66" fillId="40" borderId="37" xfId="43" applyNumberFormat="1" applyFont="1" applyFill="1" applyBorder="1" applyAlignment="1">
      <alignment horizontal="center"/>
    </xf>
    <xf numFmtId="2" fontId="66" fillId="40" borderId="26" xfId="43" applyNumberFormat="1" applyFont="1" applyFill="1" applyBorder="1" applyAlignment="1">
      <alignment horizontal="center"/>
    </xf>
    <xf numFmtId="0" fontId="11" fillId="0" borderId="67" xfId="30" applyFont="1" applyFill="1" applyBorder="1" applyAlignment="1"/>
    <xf numFmtId="0" fontId="11" fillId="0" borderId="68" xfId="30" applyFont="1" applyFill="1" applyBorder="1" applyAlignment="1"/>
    <xf numFmtId="0" fontId="66" fillId="0" borderId="69" xfId="0" applyFont="1" applyBorder="1" applyAlignment="1">
      <alignment horizontal="right"/>
    </xf>
    <xf numFmtId="0" fontId="76" fillId="0" borderId="66" xfId="0" applyFont="1" applyBorder="1" applyProtection="1">
      <protection locked="0"/>
    </xf>
    <xf numFmtId="0" fontId="66" fillId="0" borderId="4" xfId="0" applyFont="1" applyBorder="1" applyAlignment="1">
      <alignment horizontal="center"/>
    </xf>
    <xf numFmtId="169" fontId="73" fillId="0" borderId="5" xfId="43" applyNumberFormat="1" applyFont="1" applyBorder="1"/>
    <xf numFmtId="0" fontId="66" fillId="0" borderId="70" xfId="0" applyFont="1" applyBorder="1" applyAlignment="1">
      <alignment horizontal="right"/>
    </xf>
    <xf numFmtId="0" fontId="78" fillId="0" borderId="71" xfId="0" applyFont="1" applyBorder="1" applyProtection="1">
      <protection locked="0"/>
    </xf>
    <xf numFmtId="0" fontId="36" fillId="0" borderId="0" xfId="37" applyFont="1" applyAlignment="1">
      <alignment horizontal="right" vertical="center"/>
    </xf>
    <xf numFmtId="0" fontId="2" fillId="0" borderId="15" xfId="37" applyBorder="1" applyAlignment="1">
      <alignment vertical="center"/>
    </xf>
    <xf numFmtId="0" fontId="59" fillId="0" borderId="0" xfId="0" applyFont="1"/>
    <xf numFmtId="0" fontId="82" fillId="0" borderId="14" xfId="37" applyFont="1" applyBorder="1"/>
    <xf numFmtId="0" fontId="4" fillId="42" borderId="9" xfId="37" applyFont="1" applyFill="1" applyBorder="1" applyAlignment="1" applyProtection="1">
      <alignment horizontal="center" vertical="center"/>
      <protection locked="0"/>
    </xf>
    <xf numFmtId="0" fontId="20" fillId="43" borderId="9" xfId="37" applyFont="1" applyFill="1" applyBorder="1" applyAlignment="1">
      <alignment horizontal="center" vertical="center" wrapText="1"/>
    </xf>
    <xf numFmtId="2" fontId="20" fillId="43" borderId="9" xfId="37" applyNumberFormat="1" applyFont="1" applyFill="1" applyBorder="1" applyAlignment="1">
      <alignment horizontal="center" vertical="center" wrapText="1"/>
    </xf>
    <xf numFmtId="0" fontId="35" fillId="44" borderId="9" xfId="37" applyFont="1" applyFill="1" applyBorder="1" applyAlignment="1" applyProtection="1">
      <alignment horizontal="center" vertical="center" wrapText="1"/>
      <protection locked="0"/>
    </xf>
    <xf numFmtId="166" fontId="35" fillId="44" borderId="9" xfId="37" applyNumberFormat="1" applyFont="1" applyFill="1" applyBorder="1" applyAlignment="1" applyProtection="1">
      <alignment horizontal="center" vertical="center" wrapText="1"/>
      <protection locked="0"/>
    </xf>
    <xf numFmtId="0" fontId="4" fillId="44" borderId="14" xfId="37" applyFont="1" applyFill="1" applyBorder="1" applyAlignment="1">
      <alignment horizontal="left"/>
    </xf>
    <xf numFmtId="0" fontId="5" fillId="44" borderId="14" xfId="37" applyFont="1" applyFill="1" applyBorder="1" applyAlignment="1">
      <alignment horizontal="left"/>
    </xf>
    <xf numFmtId="0" fontId="20" fillId="43" borderId="19" xfId="37" applyFont="1" applyFill="1" applyBorder="1" applyAlignment="1">
      <alignment horizontal="center" vertical="center" wrapText="1"/>
    </xf>
    <xf numFmtId="0" fontId="3" fillId="44" borderId="9" xfId="37" applyFont="1" applyFill="1" applyBorder="1" applyAlignment="1" applyProtection="1">
      <alignment horizontal="center" vertical="center"/>
      <protection locked="0"/>
    </xf>
    <xf numFmtId="2" fontId="3" fillId="44" borderId="9" xfId="37" applyNumberFormat="1" applyFont="1" applyFill="1" applyBorder="1" applyAlignment="1" applyProtection="1">
      <alignment horizontal="center" vertical="center"/>
      <protection locked="0"/>
    </xf>
    <xf numFmtId="49" fontId="66" fillId="44" borderId="29" xfId="0" applyNumberFormat="1" applyFont="1" applyFill="1" applyBorder="1" applyAlignment="1" applyProtection="1">
      <alignment horizontal="center"/>
      <protection locked="0"/>
    </xf>
    <xf numFmtId="0" fontId="66" fillId="44" borderId="29" xfId="0" applyFont="1" applyFill="1" applyBorder="1" applyAlignment="1" applyProtection="1">
      <alignment horizontal="center"/>
      <protection locked="0"/>
    </xf>
    <xf numFmtId="14" fontId="66" fillId="44" borderId="29" xfId="0" applyNumberFormat="1" applyFont="1" applyFill="1" applyBorder="1" applyAlignment="1" applyProtection="1">
      <alignment horizontal="center"/>
      <protection locked="0"/>
    </xf>
    <xf numFmtId="49" fontId="66" fillId="44" borderId="9" xfId="0" applyNumberFormat="1" applyFont="1" applyFill="1" applyBorder="1" applyAlignment="1" applyProtection="1">
      <alignment horizontal="center"/>
      <protection locked="0"/>
    </xf>
    <xf numFmtId="14" fontId="66" fillId="44" borderId="9" xfId="0" applyNumberFormat="1" applyFont="1" applyFill="1" applyBorder="1" applyAlignment="1" applyProtection="1">
      <alignment horizontal="center"/>
      <protection locked="0"/>
    </xf>
    <xf numFmtId="2" fontId="66" fillId="44" borderId="9" xfId="0" applyNumberFormat="1" applyFont="1" applyFill="1" applyBorder="1" applyAlignment="1" applyProtection="1">
      <alignment horizontal="center"/>
      <protection locked="0"/>
    </xf>
    <xf numFmtId="0" fontId="66" fillId="44" borderId="9" xfId="0" applyFont="1" applyFill="1" applyBorder="1" applyAlignment="1" applyProtection="1">
      <alignment horizontal="center"/>
      <protection locked="0"/>
    </xf>
    <xf numFmtId="10" fontId="0" fillId="44" borderId="9" xfId="43" applyNumberFormat="1" applyFont="1" applyFill="1" applyBorder="1" applyAlignment="1" applyProtection="1">
      <alignment horizontal="center"/>
      <protection locked="0"/>
    </xf>
    <xf numFmtId="166" fontId="66" fillId="44" borderId="9" xfId="0" applyNumberFormat="1" applyFont="1" applyFill="1" applyBorder="1" applyAlignment="1" applyProtection="1">
      <alignment horizontal="center"/>
      <protection locked="0"/>
    </xf>
    <xf numFmtId="166" fontId="66" fillId="44" borderId="37" xfId="0" applyNumberFormat="1" applyFont="1" applyFill="1" applyBorder="1" applyAlignment="1" applyProtection="1">
      <alignment horizontal="center"/>
      <protection locked="0"/>
    </xf>
    <xf numFmtId="0" fontId="66" fillId="45" borderId="9" xfId="0" applyFont="1" applyFill="1" applyBorder="1" applyAlignment="1" applyProtection="1">
      <alignment horizontal="center"/>
      <protection locked="0"/>
    </xf>
    <xf numFmtId="0" fontId="66" fillId="45" borderId="37" xfId="0" applyFont="1" applyFill="1" applyBorder="1" applyAlignment="1" applyProtection="1">
      <alignment horizontal="center"/>
      <protection locked="0"/>
    </xf>
    <xf numFmtId="0" fontId="66" fillId="44" borderId="66" xfId="0" applyFont="1" applyFill="1" applyBorder="1" applyAlignment="1" applyProtection="1">
      <alignment horizontal="center"/>
      <protection locked="0"/>
    </xf>
    <xf numFmtId="166" fontId="66" fillId="44" borderId="66" xfId="0" applyNumberFormat="1" applyFont="1" applyFill="1" applyBorder="1" applyAlignment="1" applyProtection="1">
      <alignment horizontal="center"/>
      <protection locked="0"/>
    </xf>
    <xf numFmtId="0" fontId="7" fillId="0" borderId="0" xfId="37" applyFont="1" applyAlignment="1">
      <alignment horizontal="right"/>
    </xf>
    <xf numFmtId="0" fontId="7" fillId="0" borderId="0" xfId="37" applyFont="1" applyAlignment="1" applyProtection="1">
      <alignment horizontal="left"/>
      <protection locked="0"/>
    </xf>
    <xf numFmtId="0" fontId="7" fillId="0" borderId="12" xfId="37" applyFont="1" applyBorder="1" applyAlignment="1">
      <alignment horizontal="center"/>
    </xf>
    <xf numFmtId="0" fontId="7" fillId="0" borderId="9" xfId="37" applyFont="1" applyBorder="1" applyAlignment="1">
      <alignment horizontal="center"/>
    </xf>
    <xf numFmtId="2" fontId="7" fillId="0" borderId="28" xfId="37" applyNumberFormat="1" applyFont="1" applyBorder="1" applyAlignment="1">
      <alignment horizontal="center"/>
    </xf>
    <xf numFmtId="2" fontId="7" fillId="0" borderId="29" xfId="37" applyNumberFormat="1" applyFont="1" applyBorder="1" applyAlignment="1">
      <alignment horizontal="center"/>
    </xf>
    <xf numFmtId="2" fontId="7" fillId="0" borderId="30" xfId="37" applyNumberFormat="1" applyFont="1" applyBorder="1" applyAlignment="1">
      <alignment horizontal="center"/>
    </xf>
    <xf numFmtId="168" fontId="7" fillId="0" borderId="9" xfId="43" applyNumberFormat="1" applyFont="1" applyFill="1" applyBorder="1" applyAlignment="1" applyProtection="1">
      <alignment horizontal="center"/>
    </xf>
    <xf numFmtId="168" fontId="7" fillId="0" borderId="25" xfId="43" applyNumberFormat="1" applyFont="1" applyFill="1" applyBorder="1" applyAlignment="1" applyProtection="1">
      <alignment horizontal="center"/>
    </xf>
    <xf numFmtId="0" fontId="7" fillId="0" borderId="13" xfId="37" applyFont="1" applyBorder="1" applyAlignment="1">
      <alignment horizontal="center"/>
    </xf>
    <xf numFmtId="0" fontId="7" fillId="0" borderId="37" xfId="37" applyFont="1" applyBorder="1" applyAlignment="1">
      <alignment horizontal="center"/>
    </xf>
    <xf numFmtId="2" fontId="7" fillId="0" borderId="38" xfId="37" applyNumberFormat="1" applyFont="1" applyBorder="1" applyAlignment="1">
      <alignment horizontal="center"/>
    </xf>
    <xf numFmtId="2" fontId="7" fillId="0" borderId="39" xfId="37" applyNumberFormat="1" applyFont="1" applyBorder="1" applyAlignment="1">
      <alignment horizontal="center"/>
    </xf>
    <xf numFmtId="2" fontId="7" fillId="0" borderId="40" xfId="37" applyNumberFormat="1" applyFont="1" applyBorder="1" applyAlignment="1">
      <alignment horizontal="center"/>
    </xf>
    <xf numFmtId="168" fontId="7" fillId="0" borderId="37" xfId="43" applyNumberFormat="1" applyFont="1" applyFill="1" applyBorder="1" applyAlignment="1" applyProtection="1">
      <alignment horizontal="center"/>
    </xf>
    <xf numFmtId="168" fontId="7" fillId="0" borderId="26" xfId="43" applyNumberFormat="1" applyFont="1" applyFill="1" applyBorder="1" applyAlignment="1" applyProtection="1">
      <alignment horizontal="center"/>
    </xf>
    <xf numFmtId="0" fontId="6" fillId="0" borderId="0" xfId="37" applyFont="1" applyAlignment="1">
      <alignment horizontal="center"/>
    </xf>
    <xf numFmtId="0" fontId="7" fillId="0" borderId="0" xfId="0" applyFont="1" applyAlignment="1" applyProtection="1">
      <alignment horizontal="center"/>
      <protection locked="0"/>
    </xf>
    <xf numFmtId="0" fontId="7" fillId="0" borderId="5" xfId="0" applyFont="1" applyBorder="1" applyAlignment="1" applyProtection="1">
      <alignment horizontal="center"/>
      <protection locked="0"/>
    </xf>
    <xf numFmtId="0" fontId="9" fillId="0" borderId="36" xfId="37" applyFont="1" applyBorder="1" applyAlignment="1">
      <alignment horizontal="center"/>
    </xf>
    <xf numFmtId="0" fontId="9" fillId="0" borderId="11" xfId="37" applyFont="1" applyBorder="1" applyAlignment="1">
      <alignment horizontal="center"/>
    </xf>
    <xf numFmtId="0" fontId="0" fillId="0" borderId="9" xfId="0" applyBorder="1"/>
    <xf numFmtId="0" fontId="0" fillId="0" borderId="25" xfId="0" applyBorder="1"/>
    <xf numFmtId="0" fontId="33" fillId="0" borderId="0" xfId="37" applyFont="1" applyAlignment="1" applyProtection="1">
      <alignment horizontal="left"/>
      <protection locked="0"/>
    </xf>
    <xf numFmtId="0" fontId="33" fillId="0" borderId="5" xfId="37" applyFont="1" applyBorder="1" applyAlignment="1" applyProtection="1">
      <alignment horizontal="left"/>
      <protection locked="0"/>
    </xf>
    <xf numFmtId="0" fontId="14" fillId="0" borderId="0" xfId="37" applyFont="1" applyAlignment="1" applyProtection="1">
      <alignment horizontal="left"/>
      <protection locked="0"/>
    </xf>
    <xf numFmtId="168" fontId="7" fillId="0" borderId="28" xfId="43" applyNumberFormat="1" applyFont="1" applyFill="1" applyBorder="1" applyAlignment="1" applyProtection="1">
      <alignment horizontal="center"/>
    </xf>
    <xf numFmtId="168" fontId="7" fillId="0" borderId="29" xfId="43" applyNumberFormat="1" applyFont="1" applyFill="1" applyBorder="1" applyAlignment="1" applyProtection="1">
      <alignment horizontal="center"/>
    </xf>
    <xf numFmtId="168" fontId="7" fillId="0" borderId="66" xfId="43" applyNumberFormat="1" applyFont="1" applyFill="1" applyBorder="1" applyAlignment="1" applyProtection="1">
      <alignment horizontal="center"/>
    </xf>
    <xf numFmtId="0" fontId="2" fillId="0" borderId="4" xfId="37" applyBorder="1" applyAlignment="1">
      <alignment horizontal="center"/>
    </xf>
    <xf numFmtId="0" fontId="2" fillId="0" borderId="0" xfId="37" applyAlignment="1">
      <alignment horizontal="center"/>
    </xf>
    <xf numFmtId="0" fontId="2" fillId="0" borderId="5" xfId="37" applyBorder="1" applyAlignment="1">
      <alignment horizontal="center"/>
    </xf>
    <xf numFmtId="0" fontId="6" fillId="0" borderId="0" xfId="37" applyFont="1" applyAlignment="1">
      <alignment horizontal="left"/>
    </xf>
    <xf numFmtId="0" fontId="7" fillId="0" borderId="0" xfId="37" applyFont="1" applyAlignment="1">
      <alignment horizontal="left"/>
    </xf>
    <xf numFmtId="0" fontId="14" fillId="0" borderId="0" xfId="0" applyFont="1" applyAlignment="1" applyProtection="1">
      <alignment horizontal="left"/>
      <protection locked="0"/>
    </xf>
    <xf numFmtId="0" fontId="11" fillId="0" borderId="0" xfId="37" applyFont="1"/>
    <xf numFmtId="0" fontId="34" fillId="0" borderId="0" xfId="0" applyFont="1"/>
    <xf numFmtId="0" fontId="0" fillId="0" borderId="0" xfId="0" applyProtection="1">
      <protection locked="0"/>
    </xf>
    <xf numFmtId="0" fontId="7" fillId="0" borderId="0" xfId="37" applyFont="1" applyAlignment="1">
      <alignment horizontal="center"/>
    </xf>
    <xf numFmtId="0" fontId="14" fillId="0" borderId="0" xfId="37" applyFont="1" applyAlignment="1">
      <alignment horizontal="left"/>
    </xf>
    <xf numFmtId="0" fontId="9" fillId="0" borderId="36" xfId="37" applyFont="1" applyBorder="1" applyAlignment="1">
      <alignment horizontal="center" wrapText="1"/>
    </xf>
    <xf numFmtId="0" fontId="9" fillId="0" borderId="10" xfId="37" applyFont="1" applyBorder="1" applyAlignment="1">
      <alignment horizontal="center"/>
    </xf>
    <xf numFmtId="0" fontId="0" fillId="0" borderId="12" xfId="0" applyBorder="1"/>
    <xf numFmtId="15" fontId="18" fillId="0" borderId="0" xfId="37" applyNumberFormat="1" applyFont="1" applyAlignment="1" applyProtection="1">
      <alignment horizontal="center"/>
      <protection locked="0"/>
    </xf>
    <xf numFmtId="15" fontId="18" fillId="0" borderId="5" xfId="37" applyNumberFormat="1" applyFont="1" applyBorder="1" applyAlignment="1" applyProtection="1">
      <alignment horizontal="center"/>
      <protection locked="0"/>
    </xf>
    <xf numFmtId="0" fontId="2" fillId="0" borderId="0" xfId="37" applyAlignment="1" applyProtection="1">
      <alignment horizontal="center"/>
      <protection locked="0"/>
    </xf>
    <xf numFmtId="0" fontId="2" fillId="0" borderId="5" xfId="37" applyBorder="1" applyAlignment="1" applyProtection="1">
      <alignment horizontal="center"/>
      <protection locked="0"/>
    </xf>
    <xf numFmtId="0" fontId="7" fillId="0" borderId="0" xfId="37" applyFont="1" applyAlignment="1" applyProtection="1">
      <alignment horizontal="center"/>
      <protection locked="0"/>
    </xf>
    <xf numFmtId="10" fontId="7" fillId="0" borderId="0" xfId="37" applyNumberFormat="1" applyFont="1" applyAlignment="1" applyProtection="1">
      <alignment horizontal="center"/>
      <protection locked="0"/>
    </xf>
    <xf numFmtId="0" fontId="38" fillId="0" borderId="4" xfId="37" applyFont="1" applyBorder="1" applyAlignment="1">
      <alignment horizontal="center" vertical="top"/>
    </xf>
    <xf numFmtId="0" fontId="38" fillId="0" borderId="0" xfId="37" applyFont="1" applyAlignment="1">
      <alignment horizontal="center" vertical="top"/>
    </xf>
    <xf numFmtId="0" fontId="38" fillId="0" borderId="5" xfId="37" applyFont="1" applyBorder="1" applyAlignment="1">
      <alignment horizontal="center" vertical="top"/>
    </xf>
    <xf numFmtId="0" fontId="11" fillId="0" borderId="0" xfId="37" applyFont="1" applyAlignment="1">
      <alignment horizontal="left"/>
    </xf>
    <xf numFmtId="0" fontId="11" fillId="0" borderId="0" xfId="0" applyFont="1" applyAlignment="1">
      <alignment horizontal="left"/>
    </xf>
    <xf numFmtId="0" fontId="23" fillId="0" borderId="0" xfId="0" applyFont="1" applyProtection="1">
      <protection locked="0"/>
    </xf>
    <xf numFmtId="166" fontId="7" fillId="0" borderId="0" xfId="37" applyNumberFormat="1" applyFont="1" applyAlignment="1">
      <alignment horizontal="center"/>
    </xf>
    <xf numFmtId="0" fontId="14" fillId="0" borderId="0" xfId="0" applyFont="1" applyAlignment="1">
      <alignment horizontal="left"/>
    </xf>
    <xf numFmtId="0" fontId="7" fillId="0" borderId="0" xfId="0" applyFont="1" applyAlignment="1">
      <alignment horizontal="center"/>
    </xf>
    <xf numFmtId="0" fontId="7" fillId="0" borderId="5" xfId="0" applyFont="1" applyBorder="1" applyAlignment="1">
      <alignment horizontal="center"/>
    </xf>
    <xf numFmtId="2" fontId="7" fillId="0" borderId="0" xfId="37" applyNumberFormat="1" applyFont="1" applyAlignment="1">
      <alignment horizontal="center"/>
    </xf>
    <xf numFmtId="2" fontId="14" fillId="0" borderId="0" xfId="37" applyNumberFormat="1" applyFont="1" applyAlignment="1">
      <alignment horizontal="left"/>
    </xf>
    <xf numFmtId="0" fontId="7" fillId="0" borderId="0" xfId="0" quotePrefix="1" applyFont="1" applyAlignment="1" applyProtection="1">
      <alignment horizontal="center"/>
      <protection locked="0"/>
    </xf>
    <xf numFmtId="0" fontId="4" fillId="0" borderId="14" xfId="37" applyFont="1" applyBorder="1" applyAlignment="1">
      <alignment horizontal="center"/>
    </xf>
    <xf numFmtId="0" fontId="2" fillId="0" borderId="14" xfId="37" applyBorder="1"/>
    <xf numFmtId="0" fontId="4" fillId="0" borderId="9" xfId="37" applyFont="1" applyBorder="1" applyAlignment="1">
      <alignment horizontal="center" vertical="center"/>
    </xf>
    <xf numFmtId="0" fontId="36" fillId="0" borderId="14" xfId="37" applyFont="1" applyBorder="1" applyAlignment="1">
      <alignment horizontal="left"/>
    </xf>
    <xf numFmtId="0" fontId="36" fillId="0" borderId="14" xfId="37" applyFont="1" applyBorder="1" applyAlignment="1">
      <alignment horizontal="left" vertical="center"/>
    </xf>
    <xf numFmtId="0" fontId="20" fillId="43" borderId="9" xfId="37" applyFont="1" applyFill="1" applyBorder="1" applyAlignment="1">
      <alignment horizontal="center" vertical="center" wrapText="1"/>
    </xf>
    <xf numFmtId="0" fontId="20" fillId="43" borderId="19" xfId="37" applyFont="1" applyFill="1" applyBorder="1" applyAlignment="1">
      <alignment horizontal="center" vertical="center" wrapText="1"/>
    </xf>
    <xf numFmtId="0" fontId="4" fillId="0" borderId="21" xfId="37" applyFont="1" applyBorder="1" applyAlignment="1">
      <alignment horizontal="center"/>
    </xf>
    <xf numFmtId="0" fontId="42" fillId="0" borderId="33" xfId="0" applyFont="1" applyBorder="1" applyAlignment="1">
      <alignment horizontal="center"/>
    </xf>
    <xf numFmtId="0" fontId="42" fillId="0" borderId="22" xfId="0" applyFont="1" applyBorder="1" applyAlignment="1">
      <alignment horizontal="center"/>
    </xf>
    <xf numFmtId="0" fontId="4" fillId="0" borderId="34" xfId="37" applyFont="1" applyBorder="1" applyAlignment="1">
      <alignment horizontal="center"/>
    </xf>
    <xf numFmtId="0" fontId="42" fillId="0" borderId="35" xfId="0" applyFont="1" applyBorder="1" applyAlignment="1">
      <alignment horizontal="center"/>
    </xf>
    <xf numFmtId="0" fontId="3" fillId="0" borderId="72" xfId="37" applyFont="1" applyBorder="1" applyAlignment="1">
      <alignment horizontal="center" wrapText="1"/>
    </xf>
    <xf numFmtId="0" fontId="3" fillId="0" borderId="73" xfId="37" applyFont="1" applyBorder="1" applyAlignment="1">
      <alignment horizontal="center" wrapText="1"/>
    </xf>
    <xf numFmtId="0" fontId="64" fillId="43" borderId="51" xfId="37" applyFont="1" applyFill="1" applyBorder="1" applyAlignment="1">
      <alignment horizontal="center" vertical="center" wrapText="1"/>
    </xf>
    <xf numFmtId="0" fontId="64" fillId="43" borderId="19" xfId="37" applyFont="1" applyFill="1" applyBorder="1" applyAlignment="1">
      <alignment horizontal="center" vertical="center" wrapText="1"/>
    </xf>
    <xf numFmtId="2" fontId="64" fillId="43" borderId="51" xfId="37" applyNumberFormat="1" applyFont="1" applyFill="1" applyBorder="1" applyAlignment="1">
      <alignment horizontal="center" vertical="center" wrapText="1"/>
    </xf>
    <xf numFmtId="2" fontId="64" fillId="43" borderId="19" xfId="37" applyNumberFormat="1" applyFont="1" applyFill="1" applyBorder="1" applyAlignment="1">
      <alignment horizontal="center" vertical="center" wrapText="1"/>
    </xf>
    <xf numFmtId="0" fontId="65" fillId="36" borderId="0" xfId="0" applyFont="1" applyFill="1" applyAlignment="1">
      <alignment horizontal="center"/>
    </xf>
    <xf numFmtId="0" fontId="66" fillId="0" borderId="29" xfId="0" applyFont="1" applyBorder="1" applyAlignment="1">
      <alignment horizontal="right"/>
    </xf>
    <xf numFmtId="0" fontId="70" fillId="0" borderId="9" xfId="0" applyFont="1" applyBorder="1" applyAlignment="1">
      <alignment horizontal="center" vertical="top" wrapText="1"/>
    </xf>
    <xf numFmtId="10" fontId="0" fillId="0" borderId="9" xfId="43" applyNumberFormat="1" applyFont="1" applyFill="1" applyBorder="1" applyAlignment="1" applyProtection="1">
      <alignment horizontal="center"/>
    </xf>
    <xf numFmtId="49" fontId="66" fillId="44" borderId="9" xfId="0" applyNumberFormat="1" applyFont="1" applyFill="1" applyBorder="1" applyAlignment="1" applyProtection="1">
      <alignment horizontal="center"/>
      <protection locked="0"/>
    </xf>
    <xf numFmtId="166" fontId="66" fillId="44" borderId="9" xfId="0" applyNumberFormat="1" applyFont="1" applyFill="1" applyBorder="1" applyAlignment="1" applyProtection="1">
      <alignment horizontal="center"/>
      <protection locked="0"/>
    </xf>
    <xf numFmtId="10" fontId="68" fillId="0" borderId="36" xfId="0" applyNumberFormat="1" applyFont="1" applyBorder="1" applyAlignment="1">
      <alignment horizontal="center"/>
    </xf>
    <xf numFmtId="10" fontId="68" fillId="0" borderId="11" xfId="0" applyNumberFormat="1" applyFont="1" applyBorder="1" applyAlignment="1">
      <alignment horizontal="center"/>
    </xf>
    <xf numFmtId="0" fontId="68" fillId="0" borderId="10" xfId="0" applyFont="1" applyBorder="1" applyAlignment="1">
      <alignment horizontal="center" vertical="center" wrapText="1"/>
    </xf>
    <xf numFmtId="0" fontId="68" fillId="0" borderId="12" xfId="0" applyFont="1" applyBorder="1" applyAlignment="1">
      <alignment horizontal="center" vertical="center" wrapText="1"/>
    </xf>
    <xf numFmtId="0" fontId="68" fillId="0" borderId="36" xfId="0" applyFont="1" applyBorder="1" applyAlignment="1">
      <alignment horizontal="center"/>
    </xf>
    <xf numFmtId="0" fontId="68" fillId="0" borderId="9" xfId="0" applyFont="1" applyBorder="1" applyAlignment="1">
      <alignment horizontal="center" vertical="top" wrapText="1"/>
    </xf>
    <xf numFmtId="166" fontId="66" fillId="44" borderId="37" xfId="0" applyNumberFormat="1" applyFont="1" applyFill="1" applyBorder="1" applyAlignment="1" applyProtection="1">
      <alignment horizontal="center"/>
      <protection locked="0"/>
    </xf>
    <xf numFmtId="0" fontId="9" fillId="0" borderId="0" xfId="37" applyFont="1" applyAlignment="1">
      <alignment horizontal="center"/>
    </xf>
    <xf numFmtId="0" fontId="0" fillId="0" borderId="0" xfId="0" applyAlignment="1">
      <alignment horizontal="center"/>
    </xf>
    <xf numFmtId="0" fontId="37" fillId="36" borderId="0" xfId="0" applyFont="1" applyFill="1" applyAlignment="1">
      <alignment horizontal="center"/>
    </xf>
    <xf numFmtId="0" fontId="37" fillId="36" borderId="5" xfId="0" applyFont="1" applyFill="1" applyBorder="1" applyAlignment="1">
      <alignment horizontal="center"/>
    </xf>
    <xf numFmtId="0" fontId="2" fillId="0" borderId="0" xfId="37"/>
    <xf numFmtId="0" fontId="30" fillId="0" borderId="0" xfId="0" applyFont="1"/>
    <xf numFmtId="0" fontId="30" fillId="0" borderId="0" xfId="0" applyFont="1" applyAlignment="1" applyProtection="1">
      <alignment horizontal="center"/>
      <protection locked="0"/>
    </xf>
    <xf numFmtId="0" fontId="30" fillId="0" borderId="0" xfId="0" applyFont="1" applyProtection="1">
      <protection locked="0"/>
    </xf>
    <xf numFmtId="0" fontId="0" fillId="0" borderId="0" xfId="0" applyAlignment="1" applyProtection="1">
      <alignment horizontal="left" wrapText="1"/>
      <protection locked="0"/>
    </xf>
    <xf numFmtId="0" fontId="0" fillId="0" borderId="5" xfId="0" applyBorder="1" applyAlignment="1" applyProtection="1">
      <alignment horizontal="left" wrapText="1"/>
      <protection locked="0"/>
    </xf>
    <xf numFmtId="0" fontId="2" fillId="0" borderId="0" xfId="37" applyAlignment="1">
      <alignment wrapText="1"/>
    </xf>
    <xf numFmtId="0" fontId="2" fillId="0" borderId="5" xfId="37" applyBorder="1" applyAlignment="1">
      <alignment wrapText="1"/>
    </xf>
    <xf numFmtId="0" fontId="2" fillId="0" borderId="0" xfId="37" applyAlignment="1">
      <alignment horizontal="center" vertical="center" wrapText="1"/>
    </xf>
    <xf numFmtId="0" fontId="0" fillId="0" borderId="0" xfId="0" applyAlignment="1">
      <alignment horizontal="center" vertical="center" wrapText="1"/>
    </xf>
    <xf numFmtId="2" fontId="2" fillId="0" borderId="0" xfId="37" applyNumberFormat="1" applyAlignment="1">
      <alignment horizontal="center"/>
    </xf>
    <xf numFmtId="0" fontId="0" fillId="0" borderId="0" xfId="0"/>
    <xf numFmtId="2" fontId="2" fillId="0" borderId="0" xfId="37" applyNumberFormat="1"/>
    <xf numFmtId="0" fontId="2" fillId="0" borderId="0" xfId="37" applyAlignment="1">
      <alignment horizontal="right"/>
    </xf>
    <xf numFmtId="0" fontId="6" fillId="0" borderId="0" xfId="37" applyFont="1" applyAlignment="1">
      <alignment horizontal="right"/>
    </xf>
    <xf numFmtId="2" fontId="7" fillId="0" borderId="9" xfId="37" applyNumberFormat="1" applyFont="1" applyBorder="1" applyAlignment="1">
      <alignment horizontal="center"/>
    </xf>
    <xf numFmtId="0" fontId="2" fillId="0" borderId="0" xfId="37" applyAlignment="1" applyProtection="1">
      <alignment horizontal="left"/>
      <protection locked="0"/>
    </xf>
    <xf numFmtId="0" fontId="2" fillId="0" borderId="5" xfId="37" applyBorder="1" applyAlignment="1" applyProtection="1">
      <alignment horizontal="left"/>
      <protection locked="0"/>
    </xf>
    <xf numFmtId="0" fontId="33" fillId="0" borderId="0" xfId="37" applyFont="1" applyAlignment="1">
      <alignment horizontal="left"/>
    </xf>
    <xf numFmtId="0" fontId="33" fillId="0" borderId="5" xfId="37" applyFont="1" applyBorder="1" applyAlignment="1">
      <alignment horizontal="left"/>
    </xf>
    <xf numFmtId="0" fontId="33" fillId="0" borderId="0" xfId="37" applyFont="1" applyAlignment="1" applyProtection="1">
      <alignment horizontal="left" vertical="center" wrapText="1"/>
      <protection locked="0"/>
    </xf>
    <xf numFmtId="0" fontId="33" fillId="0" borderId="5" xfId="37" applyFont="1" applyBorder="1" applyAlignment="1" applyProtection="1">
      <alignment horizontal="left" vertical="center" wrapText="1"/>
      <protection locked="0"/>
    </xf>
    <xf numFmtId="0" fontId="2" fillId="0" borderId="0" xfId="37" applyAlignment="1">
      <alignment horizontal="left"/>
    </xf>
    <xf numFmtId="0" fontId="2" fillId="0" borderId="5" xfId="37" applyBorder="1" applyAlignment="1">
      <alignment horizontal="left"/>
    </xf>
    <xf numFmtId="0" fontId="0" fillId="0" borderId="0" xfId="0" applyAlignment="1" applyProtection="1">
      <alignment horizontal="center"/>
      <protection locked="0"/>
    </xf>
    <xf numFmtId="166" fontId="7" fillId="0" borderId="9" xfId="37" applyNumberFormat="1" applyFont="1" applyBorder="1" applyAlignment="1">
      <alignment horizontal="center"/>
    </xf>
    <xf numFmtId="166" fontId="7" fillId="0" borderId="25" xfId="37" applyNumberFormat="1" applyFont="1" applyBorder="1" applyAlignment="1">
      <alignment horizontal="center"/>
    </xf>
    <xf numFmtId="0" fontId="0" fillId="0" borderId="36" xfId="0" applyBorder="1" applyAlignment="1">
      <alignment horizontal="center"/>
    </xf>
    <xf numFmtId="0" fontId="0" fillId="0" borderId="11" xfId="0" applyBorder="1" applyAlignment="1">
      <alignment horizontal="center"/>
    </xf>
    <xf numFmtId="0" fontId="9" fillId="0" borderId="0" xfId="37" applyFont="1" applyAlignment="1">
      <alignment horizontal="right"/>
    </xf>
    <xf numFmtId="15" fontId="9" fillId="0" borderId="0" xfId="37" applyNumberFormat="1" applyFont="1" applyAlignment="1">
      <alignment horizontal="left"/>
    </xf>
    <xf numFmtId="15" fontId="9" fillId="0" borderId="5" xfId="37" applyNumberFormat="1" applyFont="1" applyBorder="1" applyAlignment="1">
      <alignment horizontal="left"/>
    </xf>
    <xf numFmtId="0" fontId="33" fillId="0" borderId="0" xfId="37" applyFont="1" applyAlignment="1">
      <alignment horizontal="left" vertical="center" wrapText="1"/>
    </xf>
    <xf numFmtId="0" fontId="33" fillId="0" borderId="5" xfId="37" applyFont="1" applyBorder="1" applyAlignment="1">
      <alignment horizontal="left" vertical="center" wrapText="1"/>
    </xf>
    <xf numFmtId="20" fontId="9" fillId="0" borderId="0" xfId="37" applyNumberFormat="1" applyFont="1" applyAlignment="1">
      <alignment horizontal="left"/>
    </xf>
    <xf numFmtId="20" fontId="9" fillId="0" borderId="5" xfId="37" applyNumberFormat="1" applyFont="1" applyBorder="1" applyAlignment="1">
      <alignment horizontal="left"/>
    </xf>
    <xf numFmtId="15" fontId="9" fillId="0" borderId="0" xfId="37" applyNumberFormat="1" applyFont="1" applyAlignment="1" applyProtection="1">
      <alignment horizontal="left"/>
      <protection locked="0"/>
    </xf>
    <xf numFmtId="15" fontId="9" fillId="0" borderId="5" xfId="37" applyNumberFormat="1" applyFont="1" applyBorder="1" applyAlignment="1" applyProtection="1">
      <alignment horizontal="left"/>
      <protection locked="0"/>
    </xf>
    <xf numFmtId="0" fontId="9" fillId="0" borderId="0" xfId="37" applyFont="1" applyAlignment="1" applyProtection="1">
      <alignment horizontal="left"/>
      <protection locked="0"/>
    </xf>
    <xf numFmtId="2" fontId="7" fillId="0" borderId="37" xfId="37" applyNumberFormat="1" applyFont="1" applyBorder="1" applyAlignment="1">
      <alignment horizontal="center"/>
    </xf>
    <xf numFmtId="166" fontId="7" fillId="0" borderId="37" xfId="37" applyNumberFormat="1" applyFont="1" applyBorder="1" applyAlignment="1">
      <alignment horizontal="center"/>
    </xf>
    <xf numFmtId="166" fontId="7" fillId="0" borderId="26" xfId="37" applyNumberFormat="1" applyFont="1" applyBorder="1" applyAlignment="1">
      <alignment horizontal="center"/>
    </xf>
    <xf numFmtId="0" fontId="9" fillId="0" borderId="0" xfId="37" applyFont="1" applyAlignment="1">
      <alignment horizontal="left"/>
    </xf>
    <xf numFmtId="0" fontId="75" fillId="0" borderId="60" xfId="0" applyFont="1" applyBorder="1" applyAlignment="1">
      <alignment horizontal="center"/>
    </xf>
    <xf numFmtId="0" fontId="75" fillId="0" borderId="0" xfId="0" applyFont="1" applyAlignment="1">
      <alignment horizontal="center"/>
    </xf>
    <xf numFmtId="0" fontId="75" fillId="0" borderId="61" xfId="0" applyFont="1" applyBorder="1" applyAlignment="1">
      <alignment horizontal="center"/>
    </xf>
    <xf numFmtId="0" fontId="66" fillId="0" borderId="0" xfId="0" applyFont="1" applyAlignment="1">
      <alignment horizontal="left"/>
    </xf>
    <xf numFmtId="0" fontId="66" fillId="0" borderId="61" xfId="0" applyFont="1" applyBorder="1" applyAlignment="1">
      <alignment horizontal="left"/>
    </xf>
    <xf numFmtId="0" fontId="66" fillId="0" borderId="0" xfId="0" applyFont="1" applyAlignment="1">
      <alignment horizontal="right"/>
    </xf>
    <xf numFmtId="2" fontId="66" fillId="0" borderId="0" xfId="0" applyNumberFormat="1" applyFont="1" applyAlignment="1">
      <alignment horizontal="left"/>
    </xf>
    <xf numFmtId="2" fontId="66" fillId="0" borderId="61" xfId="0" applyNumberFormat="1" applyFont="1" applyBorder="1" applyAlignment="1">
      <alignment horizontal="left"/>
    </xf>
    <xf numFmtId="14" fontId="66" fillId="0" borderId="0" xfId="0" applyNumberFormat="1" applyFont="1" applyAlignment="1">
      <alignment horizontal="center"/>
    </xf>
    <xf numFmtId="0" fontId="66" fillId="0" borderId="0" xfId="0" applyFont="1" applyAlignment="1">
      <alignment horizontal="center"/>
    </xf>
    <xf numFmtId="0" fontId="68" fillId="0" borderId="56" xfId="0" applyFont="1" applyBorder="1" applyAlignment="1">
      <alignment horizontal="center" vertical="top"/>
    </xf>
    <xf numFmtId="14" fontId="66" fillId="0" borderId="65" xfId="0" applyNumberFormat="1" applyFont="1" applyBorder="1" applyAlignment="1">
      <alignment horizontal="center"/>
    </xf>
    <xf numFmtId="0" fontId="66" fillId="0" borderId="65" xfId="0" applyFont="1" applyBorder="1" applyAlignment="1">
      <alignment horizontal="center"/>
    </xf>
    <xf numFmtId="0" fontId="68" fillId="0" borderId="56" xfId="0" applyFont="1" applyBorder="1" applyAlignment="1">
      <alignment horizontal="center" vertical="top" wrapText="1"/>
    </xf>
    <xf numFmtId="0" fontId="68" fillId="0" borderId="0" xfId="0" applyFont="1" applyAlignment="1">
      <alignment horizontal="center" vertical="top"/>
    </xf>
    <xf numFmtId="0" fontId="70" fillId="0" borderId="56" xfId="0" applyFont="1" applyBorder="1" applyAlignment="1">
      <alignment horizontal="center" vertical="top"/>
    </xf>
    <xf numFmtId="10" fontId="66" fillId="0" borderId="65" xfId="43" applyNumberFormat="1" applyFont="1" applyFill="1" applyBorder="1" applyAlignment="1" applyProtection="1">
      <alignment horizontal="center"/>
    </xf>
    <xf numFmtId="10" fontId="66" fillId="0" borderId="0" xfId="43" applyNumberFormat="1" applyFont="1" applyFill="1" applyBorder="1" applyAlignment="1" applyProtection="1">
      <alignment horizontal="center"/>
    </xf>
    <xf numFmtId="2" fontId="66" fillId="0" borderId="9" xfId="43" applyNumberFormat="1" applyFont="1" applyFill="1" applyBorder="1" applyAlignment="1" applyProtection="1">
      <alignment horizontal="center"/>
    </xf>
    <xf numFmtId="0" fontId="66" fillId="0" borderId="0" xfId="0" applyFont="1" applyAlignment="1" applyProtection="1">
      <alignment horizontal="center"/>
      <protection locked="0"/>
    </xf>
    <xf numFmtId="2" fontId="66" fillId="0" borderId="28" xfId="43" applyNumberFormat="1" applyFont="1" applyFill="1" applyBorder="1" applyAlignment="1" applyProtection="1">
      <alignment horizontal="center"/>
    </xf>
    <xf numFmtId="2" fontId="66" fillId="0" borderId="30" xfId="43" applyNumberFormat="1" applyFont="1" applyFill="1" applyBorder="1" applyAlignment="1" applyProtection="1">
      <alignment horizontal="center"/>
    </xf>
    <xf numFmtId="0" fontId="66" fillId="0" borderId="28" xfId="0" applyFont="1" applyBorder="1" applyAlignment="1">
      <alignment horizontal="center" vertical="top" wrapText="1"/>
    </xf>
    <xf numFmtId="0" fontId="66" fillId="0" borderId="30" xfId="0" applyFont="1" applyBorder="1" applyAlignment="1">
      <alignment horizontal="center" vertical="top" wrapText="1"/>
    </xf>
    <xf numFmtId="0" fontId="71" fillId="0" borderId="0" xfId="0" applyFont="1" applyAlignment="1">
      <alignment horizontal="left" vertical="top" wrapText="1"/>
    </xf>
    <xf numFmtId="0" fontId="71" fillId="0" borderId="61" xfId="0" applyFont="1" applyBorder="1" applyAlignment="1">
      <alignment horizontal="left" vertical="top" wrapText="1"/>
    </xf>
    <xf numFmtId="0" fontId="66" fillId="0" borderId="0" xfId="0" applyFont="1" applyAlignment="1" applyProtection="1">
      <alignment horizontal="left" vertical="top" wrapText="1"/>
      <protection locked="0"/>
    </xf>
    <xf numFmtId="0" fontId="66" fillId="0" borderId="61" xfId="0" applyFont="1" applyBorder="1" applyAlignment="1" applyProtection="1">
      <alignment horizontal="left" vertical="top" wrapText="1"/>
      <protection locked="0"/>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vertical="top"/>
    </xf>
    <xf numFmtId="0" fontId="68" fillId="0" borderId="56" xfId="0" applyFont="1" applyBorder="1" applyAlignment="1">
      <alignment horizontal="left"/>
    </xf>
    <xf numFmtId="0" fontId="6" fillId="0" borderId="0" xfId="37" applyFont="1"/>
    <xf numFmtId="49" fontId="2" fillId="0" borderId="0" xfId="37" applyNumberForma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37" xr:uid="{00000000-0005-0000-0000-000025000000}"/>
    <cellStyle name="Note" xfId="38" builtinId="10" customBuiltin="1"/>
    <cellStyle name="Note 2" xfId="39" xr:uid="{00000000-0005-0000-0000-000027000000}"/>
    <cellStyle name="Note 2 2" xfId="40" xr:uid="{00000000-0005-0000-0000-000028000000}"/>
    <cellStyle name="Note 3" xfId="41" xr:uid="{00000000-0005-0000-0000-000029000000}"/>
    <cellStyle name="Output" xfId="42" builtinId="21" customBuiltin="1"/>
    <cellStyle name="Percent" xfId="43" builtinId="5"/>
    <cellStyle name="Percent 2" xfId="44" xr:uid="{00000000-0005-0000-0000-00002C000000}"/>
    <cellStyle name="Percent 3" xfId="45" xr:uid="{00000000-0005-0000-0000-00002D000000}"/>
    <cellStyle name="Percent 3 2" xfId="46" xr:uid="{00000000-0005-0000-0000-00002E000000}"/>
    <cellStyle name="Percent 4" xfId="47" xr:uid="{00000000-0005-0000-0000-00002F000000}"/>
    <cellStyle name="Title" xfId="48" builtinId="15" customBuiltin="1"/>
    <cellStyle name="Total" xfId="49" builtinId="25" customBuiltin="1"/>
    <cellStyle name="Warning Text" xfId="50" builtinId="11" customBuiltin="1"/>
  </cellStyles>
  <dxfs count="16">
    <dxf>
      <fill>
        <patternFill>
          <bgColor rgb="FF00B050"/>
        </patternFill>
      </fill>
    </dxf>
    <dxf>
      <fill>
        <patternFill>
          <bgColor rgb="FFFF0000"/>
        </patternFill>
      </fill>
    </dxf>
    <dxf>
      <fill>
        <patternFill>
          <bgColor rgb="FF00B050"/>
        </patternFill>
      </fill>
    </dxf>
    <dxf>
      <fill>
        <patternFill>
          <bgColor rgb="FFFF0000"/>
        </patternFill>
      </fill>
    </dxf>
    <dxf>
      <font>
        <color rgb="FFC00000"/>
      </font>
      <fill>
        <patternFill>
          <bgColor theme="5" tint="0.59996337778862885"/>
        </patternFill>
      </fill>
    </dxf>
    <dxf>
      <fill>
        <patternFill>
          <bgColor theme="6" tint="0.59996337778862885"/>
        </patternFill>
      </fill>
    </dxf>
    <dxf>
      <numFmt numFmtId="1" formatCode="0"/>
    </dxf>
    <dxf>
      <numFmt numFmtId="165" formatCode="0.0"/>
    </dxf>
    <dxf>
      <numFmt numFmtId="165" formatCode="0.0"/>
    </dxf>
    <dxf>
      <numFmt numFmtId="165" formatCode="0.0"/>
    </dxf>
    <dxf>
      <numFmt numFmtId="165" formatCode="0.0"/>
    </dxf>
    <dxf>
      <numFmt numFmtId="165" formatCode="0.0"/>
    </dxf>
    <dxf>
      <numFmt numFmtId="165" formatCode="0.0"/>
    </dxf>
    <dxf>
      <numFmt numFmtId="1" formatCode="0"/>
    </dxf>
    <dxf>
      <fill>
        <patternFill>
          <bgColor theme="0" tint="-0.34998626667073579"/>
        </patternFill>
      </fill>
    </dxf>
    <dxf>
      <fill>
        <patternFill>
          <bgColor rgb="FFFF0000"/>
        </patternFill>
      </fill>
    </dxf>
  </dxfs>
  <tableStyles count="0" defaultTableStyle="TableStyleMedium9" defaultPivotStyle="PivotStyleLight16"/>
  <colors>
    <mruColors>
      <color rgb="FFFFCC99"/>
      <color rgb="FFFFEEDD"/>
      <color rgb="FFFFE2C5"/>
      <color rgb="FFFFC000"/>
      <color rgb="FFFFCC66"/>
      <color rgb="FF99CCFF"/>
      <color rgb="FF0046AD"/>
      <color rgb="FF0000FF"/>
      <color rgb="FFEEF3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US"/>
              <a:t>Deviation Plot</a:t>
            </a:r>
          </a:p>
        </c:rich>
      </c:tx>
      <c:layout>
        <c:manualLayout>
          <c:xMode val="edge"/>
          <c:yMode val="edge"/>
          <c:x val="9.2056473332990232E-2"/>
          <c:y val="5.2611548556430451E-2"/>
        </c:manualLayout>
      </c:layout>
      <c:overlay val="0"/>
      <c:spPr>
        <a:noFill/>
        <a:ln w="25400">
          <a:noFill/>
        </a:ln>
      </c:spPr>
    </c:title>
    <c:autoTitleDeleted val="0"/>
    <c:plotArea>
      <c:layout>
        <c:manualLayout>
          <c:layoutTarget val="inner"/>
          <c:xMode val="edge"/>
          <c:yMode val="edge"/>
          <c:x val="8.4984390224909931E-2"/>
          <c:y val="0.15666644095245372"/>
          <c:w val="0.87817203232406893"/>
          <c:h val="0.66148052846591499"/>
        </c:manualLayout>
      </c:layout>
      <c:scatterChart>
        <c:scatterStyle val="smoothMarker"/>
        <c:varyColors val="0"/>
        <c:ser>
          <c:idx val="1"/>
          <c:order val="0"/>
          <c:spPr>
            <a:ln w="25400">
              <a:solidFill>
                <a:srgbClr val="0000FF"/>
              </a:solidFill>
            </a:ln>
          </c:spPr>
          <c:marker>
            <c:symbol val="none"/>
          </c:marker>
          <c:xVal>
            <c:numRef>
              <c:f>FRData!$A$13:$A$30</c:f>
            </c:numRef>
          </c:xVal>
          <c:yVal>
            <c:numRef>
              <c:f>FRData!$D$13:$D$30</c:f>
              <c:numCache>
                <c:formatCode>0.0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yVal>
          <c:smooth val="1"/>
          <c:extLst>
            <c:ext xmlns:c16="http://schemas.microsoft.com/office/drawing/2014/chart" uri="{C3380CC4-5D6E-409C-BE32-E72D297353CC}">
              <c16:uniqueId val="{00000005-2956-42B1-B521-92CA6B59B5A7}"/>
            </c:ext>
          </c:extLst>
        </c:ser>
        <c:ser>
          <c:idx val="2"/>
          <c:order val="1"/>
          <c:spPr>
            <a:ln w="25400">
              <a:solidFill>
                <a:srgbClr val="0000FF"/>
              </a:solidFill>
            </a:ln>
          </c:spPr>
          <c:marker>
            <c:symbol val="none"/>
          </c:marker>
          <c:xVal>
            <c:strRef>
              <c:f>[2]FRData!$A$13:$A$30</c:f>
              <c:strCache>
                <c:ptCount val="18"/>
              </c:strCache>
            </c:strRef>
          </c:xVal>
          <c:yVal>
            <c:numRef>
              <c:f>[2]FRData!$D$13:$D$30</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yVal>
          <c:smooth val="1"/>
          <c:extLst>
            <c:ext xmlns:c16="http://schemas.microsoft.com/office/drawing/2014/chart" uri="{C3380CC4-5D6E-409C-BE32-E72D297353CC}">
              <c16:uniqueId val="{00000006-2956-42B1-B521-92CA6B59B5A7}"/>
            </c:ext>
          </c:extLst>
        </c:ser>
        <c:ser>
          <c:idx val="0"/>
          <c:order val="2"/>
          <c:spPr>
            <a:ln w="25400">
              <a:solidFill>
                <a:srgbClr val="0000FF"/>
              </a:solidFill>
            </a:ln>
          </c:spPr>
          <c:marker>
            <c:symbol val="none"/>
          </c:marker>
          <c:xVal>
            <c:strRef>
              <c:f>[2]FRData!$A$13:$A$30</c:f>
              <c:strCache>
                <c:ptCount val="18"/>
              </c:strCache>
            </c:strRef>
          </c:xVal>
          <c:yVal>
            <c:numRef>
              <c:f>[2]FRData!$D$13:$D$30</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yVal>
          <c:smooth val="1"/>
          <c:extLst>
            <c:ext xmlns:c16="http://schemas.microsoft.com/office/drawing/2014/chart" uri="{C3380CC4-5D6E-409C-BE32-E72D297353CC}">
              <c16:uniqueId val="{00000004-2956-42B1-B521-92CA6B59B5A7}"/>
            </c:ext>
          </c:extLst>
        </c:ser>
        <c:dLbls>
          <c:showLegendKey val="0"/>
          <c:showVal val="0"/>
          <c:showCatName val="0"/>
          <c:showSerName val="0"/>
          <c:showPercent val="0"/>
          <c:showBubbleSize val="0"/>
        </c:dLbls>
        <c:axId val="121667968"/>
        <c:axId val="121669888"/>
      </c:scatterChart>
      <c:valAx>
        <c:axId val="121667968"/>
        <c:scaling>
          <c:logBase val="10"/>
          <c:orientation val="minMax"/>
          <c:max val="10000"/>
          <c:min val="100"/>
        </c:scaling>
        <c:delete val="0"/>
        <c:axPos val="b"/>
        <c:majorGridlines>
          <c:spPr>
            <a:ln w="3175">
              <a:solidFill>
                <a:srgbClr val="000000"/>
              </a:solidFill>
              <a:prstDash val="solid"/>
            </a:ln>
          </c:spPr>
        </c:majorGridlines>
        <c:minorGridlines>
          <c:spPr>
            <a:ln w="3175">
              <a:solidFill>
                <a:srgbClr val="000000"/>
              </a:solidFill>
              <a:prstDash val="solid"/>
            </a:ln>
          </c:spPr>
        </c:minorGridlines>
        <c:title>
          <c:tx>
            <c:strRef>
              <c:f>[2]FRCert!$B$27</c:f>
              <c:strCache>
                <c:ptCount val="1"/>
                <c:pt idx="0">
                  <c:v>Frequency ()</c:v>
                </c:pt>
              </c:strCache>
            </c:strRef>
          </c:tx>
          <c:layout>
            <c:manualLayout>
              <c:xMode val="edge"/>
              <c:yMode val="edge"/>
              <c:x val="0.45690151476163521"/>
              <c:y val="0.89980205599300078"/>
            </c:manualLayout>
          </c:layout>
          <c:overlay val="0"/>
          <c:spPr>
            <a:noFill/>
            <a:ln w="25400">
              <a:noFill/>
            </a:ln>
          </c:spPr>
          <c:txPr>
            <a:bodyPr/>
            <a:lstStyle/>
            <a:p>
              <a:pPr>
                <a:defRPr sz="975" b="0" i="0" u="none" strike="noStrike" baseline="0">
                  <a:solidFill>
                    <a:srgbClr val="000000"/>
                  </a:solidFill>
                  <a:latin typeface="Arial"/>
                  <a:ea typeface="Arial"/>
                  <a:cs typeface="Arial"/>
                </a:defRPr>
              </a:pPr>
              <a:endParaRPr lang="en-US"/>
            </a:p>
          </c:txPr>
        </c:title>
        <c:numFmt formatCode="General" sourceLinked="1"/>
        <c:majorTickMark val="out"/>
        <c:minorTickMark val="none"/>
        <c:tickLblPos val="low"/>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9888"/>
        <c:crossesAt val="-100"/>
        <c:crossBetween val="midCat"/>
      </c:valAx>
      <c:valAx>
        <c:axId val="121669888"/>
        <c:scaling>
          <c:orientation val="minMax"/>
          <c:max val="10"/>
          <c:min val="-10"/>
        </c:scaling>
        <c:delete val="0"/>
        <c:axPos val="l"/>
        <c:majorGridlines>
          <c:spPr>
            <a:ln w="3175">
              <a:solidFill>
                <a:srgbClr val="000000"/>
              </a:solidFill>
              <a:prstDash val="sysDash"/>
            </a:ln>
          </c:spPr>
        </c:majorGridlines>
        <c:title>
          <c:tx>
            <c:rich>
              <a:bodyPr/>
              <a:lstStyle/>
              <a:p>
                <a:pPr>
                  <a:defRPr sz="975" b="0" i="0" u="none" strike="noStrike" baseline="0">
                    <a:solidFill>
                      <a:srgbClr val="000000"/>
                    </a:solidFill>
                    <a:latin typeface="Arial"/>
                    <a:ea typeface="Arial"/>
                    <a:cs typeface="Arial"/>
                  </a:defRPr>
                </a:pPr>
                <a:r>
                  <a:rPr lang="en-US"/>
                  <a:t>Deviation (%)</a:t>
                </a:r>
              </a:p>
            </c:rich>
          </c:tx>
          <c:layout>
            <c:manualLayout>
              <c:xMode val="edge"/>
              <c:yMode val="edge"/>
              <c:x val="5.4704338428284696E-3"/>
              <c:y val="0.28017315543890348"/>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7968"/>
        <c:crossesAt val="0.1"/>
        <c:crossBetween val="midCat"/>
        <c:majorUnit val="2"/>
      </c:valAx>
      <c:spPr>
        <a:solidFill>
          <a:srgbClr val="FFFFFF"/>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90602195852279"/>
          <c:y val="3.5505468576334714E-2"/>
          <c:w val="0.8464153390709882"/>
          <c:h val="0.67068536130993239"/>
        </c:manualLayout>
      </c:layout>
      <c:scatterChart>
        <c:scatterStyle val="lineMarker"/>
        <c:varyColors val="0"/>
        <c:ser>
          <c:idx val="0"/>
          <c:order val="0"/>
          <c:spPr>
            <a:ln w="28575">
              <a:noFill/>
            </a:ln>
          </c:spPr>
          <c:marker>
            <c:symbol val="star"/>
            <c:size val="4"/>
            <c:spPr>
              <a:noFill/>
              <a:ln>
                <a:solidFill>
                  <a:srgbClr val="002060"/>
                </a:solidFill>
              </a:ln>
            </c:spPr>
          </c:marker>
          <c:xVal>
            <c:strRef>
              <c:f>'Linfit Worksheet'!$C$3:$C$4</c:f>
              <c:strCache>
                <c:ptCount val="1"/>
                <c:pt idx="0">
                  <c:v>0.000</c:v>
                </c:pt>
              </c:strCache>
            </c:strRef>
          </c:xVal>
          <c:yVal>
            <c:numRef>
              <c:f>'Linfit Worksheet'!$D$3:$D$4</c:f>
              <c:numCache>
                <c:formatCode>0.000</c:formatCode>
                <c:ptCount val="2"/>
                <c:pt idx="1">
                  <c:v>0</c:v>
                </c:pt>
              </c:numCache>
            </c:numRef>
          </c:yVal>
          <c:smooth val="0"/>
          <c:extLst>
            <c:ext xmlns:c16="http://schemas.microsoft.com/office/drawing/2014/chart" uri="{C3380CC4-5D6E-409C-BE32-E72D297353CC}">
              <c16:uniqueId val="{00000000-E975-4DE2-BFCC-60F0E7DC2009}"/>
            </c:ext>
          </c:extLst>
        </c:ser>
        <c:ser>
          <c:idx val="1"/>
          <c:order val="1"/>
          <c:spPr>
            <a:ln w="12700">
              <a:solidFill>
                <a:srgbClr val="0000FF"/>
              </a:solidFill>
              <a:prstDash val="solid"/>
            </a:ln>
          </c:spPr>
          <c:marker>
            <c:symbol val="star"/>
            <c:size val="6"/>
            <c:spPr>
              <a:noFill/>
              <a:ln>
                <a:solidFill>
                  <a:srgbClr val="0000FF"/>
                </a:solidFill>
                <a:prstDash val="solid"/>
              </a:ln>
            </c:spPr>
          </c:marker>
          <c:xVal>
            <c:strRef>
              <c:f>'Linfit Worksheet'!$C$3:$C$4</c:f>
              <c:strCache>
                <c:ptCount val="1"/>
                <c:pt idx="0">
                  <c:v>0.000</c:v>
                </c:pt>
              </c:strCache>
            </c:strRef>
          </c:xVal>
          <c:yVal>
            <c:numRef>
              <c:f>'Linfit Worksheet'!$E$3:$E$4</c:f>
              <c:numCache>
                <c:formatCode>0.0000</c:formatCode>
                <c:ptCount val="2"/>
                <c:pt idx="0" formatCode="0.00">
                  <c:v>0</c:v>
                </c:pt>
                <c:pt idx="1">
                  <c:v>0</c:v>
                </c:pt>
              </c:numCache>
            </c:numRef>
          </c:yVal>
          <c:smooth val="0"/>
          <c:extLst>
            <c:ext xmlns:c16="http://schemas.microsoft.com/office/drawing/2014/chart" uri="{C3380CC4-5D6E-409C-BE32-E72D297353CC}">
              <c16:uniqueId val="{00000001-E975-4DE2-BFCC-60F0E7DC2009}"/>
            </c:ext>
          </c:extLst>
        </c:ser>
        <c:dLbls>
          <c:showLegendKey val="0"/>
          <c:showVal val="0"/>
          <c:showCatName val="0"/>
          <c:showSerName val="0"/>
          <c:showPercent val="0"/>
          <c:showBubbleSize val="0"/>
        </c:dLbls>
        <c:axId val="133173632"/>
        <c:axId val="133175552"/>
      </c:scatterChart>
      <c:valAx>
        <c:axId val="133173632"/>
        <c:scaling>
          <c:orientation val="minMax"/>
          <c:min val="0"/>
        </c:scaling>
        <c:delete val="0"/>
        <c:axPos val="b"/>
        <c:majorGridlines/>
        <c:numFmt formatCode="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3175552"/>
        <c:crosses val="autoZero"/>
        <c:crossBetween val="midCat"/>
      </c:valAx>
      <c:valAx>
        <c:axId val="133175552"/>
        <c:scaling>
          <c:orientation val="minMax"/>
          <c:min val="0"/>
        </c:scaling>
        <c:delete val="0"/>
        <c:axPos val="l"/>
        <c:majorGridlines/>
        <c:title>
          <c:tx>
            <c:rich>
              <a:bodyPr/>
              <a:lstStyle/>
              <a:p>
                <a:pPr>
                  <a:defRPr sz="1000" b="1" i="0" u="none" strike="noStrike" baseline="0">
                    <a:solidFill>
                      <a:srgbClr val="000000"/>
                    </a:solidFill>
                    <a:latin typeface="Calibri"/>
                    <a:ea typeface="Calibri"/>
                    <a:cs typeface="Calibri"/>
                  </a:defRPr>
                </a:pPr>
                <a:r>
                  <a:rPr lang="en-US" altLang="zh-CN"/>
                  <a:t>Amplitude ()</a:t>
                </a:r>
                <a:endParaRPr lang="en-US"/>
              </a:p>
            </c:rich>
          </c:tx>
          <c:layout>
            <c:manualLayout>
              <c:xMode val="edge"/>
              <c:yMode val="edge"/>
              <c:x val="7.9536714887383283E-3"/>
              <c:y val="0.24648093687084296"/>
            </c:manualLayout>
          </c:layout>
          <c:overlay val="0"/>
          <c:spPr>
            <a:noFill/>
            <a:ln w="25400">
              <a:noFill/>
            </a:ln>
          </c:spPr>
        </c:title>
        <c:numFmt formatCode="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3173632"/>
        <c:crosses val="autoZero"/>
        <c:crossBetween val="midCat"/>
      </c:valAx>
      <c:spPr>
        <a:noFill/>
        <a:ln w="3175">
          <a:solidFill>
            <a:schemeClr val="tx1">
              <a:lumMod val="65000"/>
              <a:lumOff val="35000"/>
            </a:schemeClr>
          </a:solidFill>
        </a:ln>
      </c:spPr>
    </c:plotArea>
    <c:plotVisOnly val="1"/>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89" l="0.70000000000000062" r="0.70000000000000062" t="0.75000000000000389" header="0.30000000000000032" footer="0.30000000000000032"/>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238542054798066"/>
          <c:y val="0.128"/>
          <c:w val="0.8427854767222237"/>
          <c:h val="0.67600000000000005"/>
        </c:manualLayout>
      </c:layout>
      <c:scatterChart>
        <c:scatterStyle val="lineMarker"/>
        <c:varyColors val="0"/>
        <c:ser>
          <c:idx val="0"/>
          <c:order val="0"/>
          <c:spPr>
            <a:ln w="28575">
              <a:noFill/>
            </a:ln>
          </c:spPr>
          <c:marker>
            <c:symbol val="star"/>
            <c:size val="5"/>
            <c:spPr>
              <a:noFill/>
              <a:ln>
                <a:solidFill>
                  <a:schemeClr val="tx1"/>
                </a:solidFill>
              </a:ln>
            </c:spPr>
          </c:marker>
          <c:xVal>
            <c:numRef>
              <c:f>'Linfit Worksheet'!$K$3</c:f>
            </c:numRef>
          </c:xVal>
          <c:yVal>
            <c:numRef>
              <c:f>'Linfit Worksheet'!$L$3</c:f>
              <c:numCache>
                <c:formatCode>General</c:formatCode>
                <c:ptCount val="1"/>
                <c:pt idx="0">
                  <c:v>0</c:v>
                </c:pt>
              </c:numCache>
            </c:numRef>
          </c:yVal>
          <c:smooth val="0"/>
          <c:extLst>
            <c:ext xmlns:c16="http://schemas.microsoft.com/office/drawing/2014/chart" uri="{C3380CC4-5D6E-409C-BE32-E72D297353CC}">
              <c16:uniqueId val="{00000000-AA9C-4829-A92F-58BED282709E}"/>
            </c:ext>
          </c:extLst>
        </c:ser>
        <c:ser>
          <c:idx val="1"/>
          <c:order val="1"/>
          <c:spPr>
            <a:ln w="12700">
              <a:solidFill>
                <a:srgbClr val="0000FF"/>
              </a:solidFill>
              <a:prstDash val="solid"/>
            </a:ln>
          </c:spPr>
          <c:marker>
            <c:symbol val="star"/>
            <c:size val="6"/>
            <c:spPr>
              <a:noFill/>
              <a:ln>
                <a:solidFill>
                  <a:srgbClr val="0000FF"/>
                </a:solidFill>
                <a:prstDash val="solid"/>
              </a:ln>
            </c:spPr>
          </c:marker>
          <c:xVal>
            <c:numRef>
              <c:f>'Linfit Worksheet'!$K$3</c:f>
            </c:numRef>
          </c:xVal>
          <c:yVal>
            <c:numRef>
              <c:f>'Linfit Worksheet'!$M$3</c:f>
              <c:numCache>
                <c:formatCode>General</c:formatCode>
                <c:ptCount val="1"/>
                <c:pt idx="0">
                  <c:v>0</c:v>
                </c:pt>
              </c:numCache>
            </c:numRef>
          </c:yVal>
          <c:smooth val="0"/>
          <c:extLst>
            <c:ext xmlns:c16="http://schemas.microsoft.com/office/drawing/2014/chart" uri="{C3380CC4-5D6E-409C-BE32-E72D297353CC}">
              <c16:uniqueId val="{00000001-AA9C-4829-A92F-58BED282709E}"/>
            </c:ext>
          </c:extLst>
        </c:ser>
        <c:dLbls>
          <c:showLegendKey val="0"/>
          <c:showVal val="0"/>
          <c:showCatName val="0"/>
          <c:showSerName val="0"/>
          <c:showPercent val="0"/>
          <c:showBubbleSize val="0"/>
        </c:dLbls>
        <c:axId val="135278592"/>
        <c:axId val="135280896"/>
      </c:scatterChart>
      <c:valAx>
        <c:axId val="135278592"/>
        <c:scaling>
          <c:orientation val="minMax"/>
          <c:min val="0"/>
        </c:scaling>
        <c:delete val="0"/>
        <c:axPos val="t"/>
        <c:majorGridlines/>
        <c:title>
          <c:tx>
            <c:rich>
              <a:bodyPr/>
              <a:lstStyle/>
              <a:p>
                <a:pPr>
                  <a:defRPr sz="1000" b="1" i="0" u="none" strike="noStrike" baseline="0">
                    <a:solidFill>
                      <a:srgbClr val="000000"/>
                    </a:solidFill>
                    <a:latin typeface="Calibri"/>
                    <a:ea typeface="Calibri"/>
                    <a:cs typeface="Calibri"/>
                  </a:defRPr>
                </a:pPr>
                <a:r>
                  <a:rPr lang="en-US"/>
                  <a:t>Acceleration g pk</a:t>
                </a:r>
              </a:p>
            </c:rich>
          </c:tx>
          <c:layout>
            <c:manualLayout>
              <c:xMode val="edge"/>
              <c:yMode val="edge"/>
              <c:x val="0.44668034453439798"/>
              <c:y val="0.876"/>
            </c:manualLayout>
          </c:layout>
          <c:overlay val="0"/>
          <c:spPr>
            <a:noFill/>
            <a:ln w="25400">
              <a:noFill/>
            </a:ln>
          </c:spPr>
        </c:title>
        <c:numFmt formatCode="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5280896"/>
        <c:crosses val="max"/>
        <c:crossBetween val="midCat"/>
      </c:valAx>
      <c:valAx>
        <c:axId val="135280896"/>
        <c:scaling>
          <c:orientation val="minMax"/>
          <c:min val="0"/>
        </c:scaling>
        <c:delete val="0"/>
        <c:axPos val="l"/>
        <c:majorGridlines/>
        <c:title>
          <c:tx>
            <c:rich>
              <a:bodyPr/>
              <a:lstStyle/>
              <a:p>
                <a:pPr>
                  <a:defRPr sz="1000" b="1" i="0" u="none" strike="noStrike" baseline="0">
                    <a:solidFill>
                      <a:srgbClr val="000000"/>
                    </a:solidFill>
                    <a:latin typeface="Calibri"/>
                    <a:ea typeface="Calibri"/>
                    <a:cs typeface="Calibri"/>
                  </a:defRPr>
                </a:pPr>
                <a:r>
                  <a:rPr lang="en-US" altLang="zh-CN"/>
                  <a:t>Amplitude (mV)</a:t>
                </a:r>
                <a:endParaRPr lang="en-US"/>
              </a:p>
            </c:rich>
          </c:tx>
          <c:layout>
            <c:manualLayout>
              <c:xMode val="edge"/>
              <c:yMode val="edge"/>
              <c:x val="5.5230552166894639E-3"/>
              <c:y val="0.29505343832020997"/>
            </c:manualLayout>
          </c:layout>
          <c:overlay val="0"/>
          <c:spPr>
            <a:noFill/>
            <a:ln w="25400">
              <a:noFill/>
            </a:ln>
          </c:spPr>
        </c:title>
        <c:numFmt formatCode="0.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5278592"/>
        <c:crosses val="autoZero"/>
        <c:crossBetween val="midCat"/>
      </c:valAx>
      <c:spPr>
        <a:noFill/>
        <a:ln w="3175">
          <a:solidFill>
            <a:schemeClr val="tx1">
              <a:lumMod val="65000"/>
              <a:lumOff val="35000"/>
            </a:schemeClr>
          </a:solidFill>
        </a:ln>
      </c:spPr>
    </c:plotArea>
    <c:plotVisOnly val="1"/>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89" l="0.70000000000000062" r="0.70000000000000062" t="0.75000000000000389" header="0.30000000000000032" footer="0.30000000000000032"/>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900" b="1" i="0" u="none" strike="noStrike" baseline="0">
                <a:solidFill>
                  <a:srgbClr val="000000"/>
                </a:solidFill>
                <a:latin typeface="Arial"/>
                <a:ea typeface="Arial"/>
                <a:cs typeface="Arial"/>
              </a:defRPr>
            </a:pPr>
            <a:r>
              <a:rPr lang="en-US" sz="900"/>
              <a:t>Frequency Deviation</a:t>
            </a:r>
          </a:p>
        </c:rich>
      </c:tx>
      <c:layout>
        <c:manualLayout>
          <c:xMode val="edge"/>
          <c:yMode val="edge"/>
          <c:x val="3.2532652168478934E-2"/>
          <c:y val="3.8722659667541563E-2"/>
        </c:manualLayout>
      </c:layout>
      <c:overlay val="0"/>
      <c:spPr>
        <a:noFill/>
        <a:ln w="25400">
          <a:noFill/>
        </a:ln>
      </c:spPr>
    </c:title>
    <c:autoTitleDeleted val="0"/>
    <c:plotArea>
      <c:layout>
        <c:manualLayout>
          <c:layoutTarget val="inner"/>
          <c:xMode val="edge"/>
          <c:yMode val="edge"/>
          <c:x val="0.10427450908914165"/>
          <c:y val="0.15666644095245372"/>
          <c:w val="0.85888196267133277"/>
          <c:h val="0.6244433508311461"/>
        </c:manualLayout>
      </c:layout>
      <c:scatterChart>
        <c:scatterStyle val="smoothMarker"/>
        <c:varyColors val="0"/>
        <c:ser>
          <c:idx val="0"/>
          <c:order val="0"/>
          <c:spPr>
            <a:ln w="12700">
              <a:solidFill>
                <a:srgbClr val="0000FF"/>
              </a:solidFill>
            </a:ln>
          </c:spPr>
          <c:marker>
            <c:symbol val="x"/>
            <c:size val="8"/>
            <c:spPr>
              <a:ln w="19050">
                <a:solidFill>
                  <a:srgbClr val="0000FF"/>
                </a:solidFill>
              </a:ln>
            </c:spPr>
          </c:marker>
          <c:xVal>
            <c:numRef>
              <c:f>'Vib Analyzer Data'!$C$26:$C$40</c:f>
              <c:numCache>
                <c:formatCode>General</c:formatCode>
                <c:ptCount val="15"/>
              </c:numCache>
            </c:numRef>
          </c:xVal>
          <c:yVal>
            <c:numRef>
              <c:f>'Vib Analyzer Data'!$H$26:$H$40</c:f>
              <c:numCache>
                <c:formatCode>0.00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yVal>
          <c:smooth val="1"/>
          <c:extLst>
            <c:ext xmlns:c16="http://schemas.microsoft.com/office/drawing/2014/chart" uri="{C3380CC4-5D6E-409C-BE32-E72D297353CC}">
              <c16:uniqueId val="{00000002-792E-41D5-A05A-E6BF615DB668}"/>
            </c:ext>
          </c:extLst>
        </c:ser>
        <c:dLbls>
          <c:showLegendKey val="0"/>
          <c:showVal val="0"/>
          <c:showCatName val="0"/>
          <c:showSerName val="0"/>
          <c:showPercent val="0"/>
          <c:showBubbleSize val="0"/>
        </c:dLbls>
        <c:axId val="121667968"/>
        <c:axId val="121669888"/>
      </c:scatterChart>
      <c:valAx>
        <c:axId val="121667968"/>
        <c:scaling>
          <c:logBase val="10"/>
          <c:orientation val="minMax"/>
          <c:max val="1000"/>
          <c:min val="10"/>
        </c:scaling>
        <c:delete val="0"/>
        <c:axPos val="b"/>
        <c:majorGridlines>
          <c:spPr>
            <a:ln w="3175">
              <a:solidFill>
                <a:srgbClr val="000000"/>
              </a:solidFill>
              <a:prstDash val="solid"/>
            </a:ln>
          </c:spPr>
        </c:majorGridlines>
        <c:minorGridlines>
          <c:spPr>
            <a:ln w="3175">
              <a:noFill/>
              <a:prstDash val="solid"/>
            </a:ln>
          </c:spPr>
        </c:minorGridlines>
        <c:title>
          <c:tx>
            <c:rich>
              <a:bodyPr/>
              <a:lstStyle/>
              <a:p>
                <a:pPr>
                  <a:defRPr sz="900"/>
                </a:pPr>
                <a:r>
                  <a:rPr lang="en-US" sz="900"/>
                  <a:t>Frequency (Hz)</a:t>
                </a:r>
              </a:p>
            </c:rich>
          </c:tx>
          <c:overlay val="0"/>
        </c:title>
        <c:numFmt formatCode="General" sourceLinked="1"/>
        <c:majorTickMark val="out"/>
        <c:minorTickMark val="none"/>
        <c:tickLblPos val="low"/>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9888"/>
        <c:crossesAt val="-100"/>
        <c:crossBetween val="midCat"/>
      </c:valAx>
      <c:valAx>
        <c:axId val="121669888"/>
        <c:scaling>
          <c:orientation val="minMax"/>
          <c:max val="30"/>
          <c:min val="-30"/>
        </c:scaling>
        <c:delete val="0"/>
        <c:axPos val="l"/>
        <c:majorGridlines>
          <c:spPr>
            <a:ln w="3175">
              <a:solidFill>
                <a:srgbClr val="000000"/>
              </a:solidFill>
              <a:prstDash val="sysDash"/>
            </a:ln>
          </c:spPr>
        </c:majorGridlines>
        <c:title>
          <c:tx>
            <c:rich>
              <a:bodyPr/>
              <a:lstStyle/>
              <a:p>
                <a:pPr>
                  <a:defRPr sz="900" b="0" i="0" u="none" strike="noStrike" baseline="0">
                    <a:solidFill>
                      <a:srgbClr val="000000"/>
                    </a:solidFill>
                    <a:latin typeface="Arial"/>
                    <a:ea typeface="Arial"/>
                    <a:cs typeface="Arial"/>
                  </a:defRPr>
                </a:pPr>
                <a:r>
                  <a:rPr lang="en-US" sz="900"/>
                  <a:t>% Deviation</a:t>
                </a:r>
              </a:p>
            </c:rich>
          </c:tx>
          <c:layout>
            <c:manualLayout>
              <c:xMode val="edge"/>
              <c:yMode val="edge"/>
              <c:x val="1.5232035389515704E-2"/>
              <c:y val="0.35424712535933006"/>
            </c:manualLayout>
          </c:layout>
          <c:overlay val="0"/>
          <c:spPr>
            <a:noFill/>
            <a:ln w="25400">
              <a:noFill/>
            </a:ln>
          </c:spPr>
        </c:title>
        <c:numFmt formatCode="#,##0.00" sourceLinked="0"/>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7968"/>
        <c:crosses val="autoZero"/>
        <c:crossBetween val="midCat"/>
      </c:valAx>
      <c:spPr>
        <a:solidFill>
          <a:srgbClr val="FFFFFF"/>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orientation="landscape"/>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fmlaLink="FRRaw!$I$12" lockText="1"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B$7"/>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Drop" dropLines="2" dropStyle="combo" dx="16" fmlaLink="$H$8" fmlaRange="RouteRaw!$L$3:$L$4" noThreeD="1" sel="0" val="0"/>
</file>

<file path=xl/ctrlProps/ctrlProp15.xml><?xml version="1.0" encoding="utf-8"?>
<formControlPr xmlns="http://schemas.microsoft.com/office/spreadsheetml/2009/9/main" objectType="Drop" dropLines="2" dropStyle="combo" dx="16" fmlaLink="$K$26" fmlaRange="RouteRaw!$L$3:$L$4" noThreeD="1" sel="0" val="0"/>
</file>

<file path=xl/ctrlProps/ctrlProp16.xml><?xml version="1.0" encoding="utf-8"?>
<formControlPr xmlns="http://schemas.microsoft.com/office/spreadsheetml/2009/9/main" objectType="Drop" dropLines="5" dropStyle="combo" dx="16" fmlaLink="$K$29" fmlaRange="RouteRaw!$D$3:$D$12" noThreeD="1" sel="0" val="0"/>
</file>

<file path=xl/ctrlProps/ctrlProp17.xml><?xml version="1.0" encoding="utf-8"?>
<formControlPr xmlns="http://schemas.microsoft.com/office/spreadsheetml/2009/9/main" objectType="Drop" dropLines="4" dropStyle="combo" dx="16" fmlaLink="$H$11" fmlaRange="RouteRaw!$H$3:$H$6" noThreeD="1" sel="0" val="0"/>
</file>

<file path=xl/ctrlProps/ctrlProp18.xml><?xml version="1.0" encoding="utf-8"?>
<formControlPr xmlns="http://schemas.microsoft.com/office/spreadsheetml/2009/9/main" objectType="Drop" dropStyle="combo" dx="16" fmlaLink="$H$13" fmlaRange="RouteRaw!$J$3:$J$4" noThreeD="1" sel="0"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16" fmlaLink="$H$5" fmlaRange="RouteRaw!$V$3:$V$5" noThreeD="1" sel="0" val="0"/>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220980</xdr:colOff>
          <xdr:row>5</xdr:row>
          <xdr:rowOff>30480</xdr:rowOff>
        </xdr:from>
        <xdr:to>
          <xdr:col>1</xdr:col>
          <xdr:colOff>213360</xdr:colOff>
          <xdr:row>6</xdr:row>
          <xdr:rowOff>121920</xdr:rowOff>
        </xdr:to>
        <xdr:sp macro="" textlink="">
          <xdr:nvSpPr>
            <xdr:cNvPr id="3096" name="ViewCert" hidden="1">
              <a:extLst>
                <a:ext uri="{63B3BB69-23CF-44E3-9099-C40C66FF867C}">
                  <a14:compatExt spid="_x0000_s3096"/>
                </a:ext>
                <a:ext uri="{FF2B5EF4-FFF2-40B4-BE49-F238E27FC236}">
                  <a16:creationId xmlns:a16="http://schemas.microsoft.com/office/drawing/2014/main" id="{00000000-0008-0000-0000-0000180C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  2) 查看校验证书</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220980</xdr:colOff>
          <xdr:row>3</xdr:row>
          <xdr:rowOff>68580</xdr:rowOff>
        </xdr:from>
        <xdr:to>
          <xdr:col>1</xdr:col>
          <xdr:colOff>213360</xdr:colOff>
          <xdr:row>4</xdr:row>
          <xdr:rowOff>160020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  1) 导入文件数据</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1836420</xdr:colOff>
          <xdr:row>9</xdr:row>
          <xdr:rowOff>38100</xdr:rowOff>
        </xdr:from>
        <xdr:to>
          <xdr:col>3</xdr:col>
          <xdr:colOff>868680</xdr:colOff>
          <xdr:row>9</xdr:row>
          <xdr:rowOff>198120</xdr:rowOff>
        </xdr:to>
        <xdr:sp macro="" textlink="">
          <xdr:nvSpPr>
            <xdr:cNvPr id="3128" name="Button 56" hidden="1">
              <a:extLst>
                <a:ext uri="{63B3BB69-23CF-44E3-9099-C40C66FF867C}">
                  <a14:compatExt spid="_x0000_s3128"/>
                </a:ext>
                <a:ext uri="{FF2B5EF4-FFF2-40B4-BE49-F238E27FC236}">
                  <a16:creationId xmlns:a16="http://schemas.microsoft.com/office/drawing/2014/main" id="{00000000-0008-0000-0000-000038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清空表格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1485900</xdr:colOff>
          <xdr:row>1</xdr:row>
          <xdr:rowOff>22860</xdr:rowOff>
        </xdr:from>
        <xdr:to>
          <xdr:col>4</xdr:col>
          <xdr:colOff>1737360</xdr:colOff>
          <xdr:row>2</xdr:row>
          <xdr:rowOff>7620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0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1395132</xdr:colOff>
      <xdr:row>0</xdr:row>
      <xdr:rowOff>0</xdr:rowOff>
    </xdr:from>
    <xdr:to>
      <xdr:col>3</xdr:col>
      <xdr:colOff>205741</xdr:colOff>
      <xdr:row>4</xdr:row>
      <xdr:rowOff>209550</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3429672" y="0"/>
          <a:ext cx="2590129" cy="1123950"/>
          <a:chOff x="3368418" y="0"/>
          <a:chExt cx="2528024" cy="1123950"/>
        </a:xfrm>
      </xdr:grpSpPr>
      <xdr:sp macro="" textlink="">
        <xdr:nvSpPr>
          <xdr:cNvPr id="5" name="Rectangle 4">
            <a:extLst>
              <a:ext uri="{FF2B5EF4-FFF2-40B4-BE49-F238E27FC236}">
                <a16:creationId xmlns:a16="http://schemas.microsoft.com/office/drawing/2014/main" id="{00000000-0008-0000-0000-000005000000}"/>
              </a:ext>
            </a:extLst>
          </xdr:cNvPr>
          <xdr:cNvSpPr/>
        </xdr:nvSpPr>
        <xdr:spPr>
          <a:xfrm>
            <a:off x="3622257" y="0"/>
            <a:ext cx="2274185" cy="505267"/>
          </a:xfrm>
          <a:prstGeom prst="rect">
            <a:avLst/>
          </a:prstGeom>
          <a:noFill/>
        </xdr:spPr>
        <xdr:txBody>
          <a:bodyPr wrap="square" lIns="91440" tIns="45720" rIns="91440" bIns="45720">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2800" b="0" i="0" u="none" strike="noStrike" kern="0" cap="none" spc="0" normalizeH="0" baseline="0" noProof="0">
                <a:ln w="10160">
                  <a:solidFill>
                    <a:srgbClr val="1F497D"/>
                  </a:solidFill>
                  <a:prstDash val="solid"/>
                </a:ln>
                <a:solidFill>
                  <a:srgbClr val="1F497D"/>
                </a:solidFill>
                <a:effectLst>
                  <a:outerShdw blurRad="38100" dist="32000" dir="5400000" algn="tl">
                    <a:srgbClr val="000000">
                      <a:alpha val="30000"/>
                    </a:srgbClr>
                  </a:outerShdw>
                </a:effectLst>
                <a:uLnTx/>
                <a:uFillTx/>
                <a:latin typeface="Arial" pitchFamily="34" charset="0"/>
                <a:ea typeface="+mn-ea"/>
                <a:cs typeface="Arial" pitchFamily="34" charset="0"/>
              </a:rPr>
              <a:t>HI-903 PRO</a:t>
            </a:r>
          </a:p>
        </xdr:txBody>
      </xdr:sp>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3368418" y="114300"/>
            <a:ext cx="0"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257175</xdr:colOff>
      <xdr:row>0</xdr:row>
      <xdr:rowOff>0</xdr:rowOff>
    </xdr:from>
    <xdr:to>
      <xdr:col>1</xdr:col>
      <xdr:colOff>219075</xdr:colOff>
      <xdr:row>3</xdr:row>
      <xdr:rowOff>32683</xdr:rowOff>
    </xdr:to>
    <xdr:pic>
      <xdr:nvPicPr>
        <xdr:cNvPr id="2" name="Picture 1">
          <a:extLst>
            <a:ext uri="{FF2B5EF4-FFF2-40B4-BE49-F238E27FC236}">
              <a16:creationId xmlns:a16="http://schemas.microsoft.com/office/drawing/2014/main" id="{338A8537-5CF0-4B2F-A2E9-6A1173A827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7175" y="0"/>
          <a:ext cx="1943100" cy="7184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140320</xdr:colOff>
      <xdr:row>7</xdr:row>
      <xdr:rowOff>50645</xdr:rowOff>
    </xdr:from>
    <xdr:to>
      <xdr:col>1</xdr:col>
      <xdr:colOff>781051</xdr:colOff>
      <xdr:row>8</xdr:row>
      <xdr:rowOff>131956</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40320" y="1650845"/>
          <a:ext cx="1888506" cy="3099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b="1">
              <a:latin typeface="Arial" pitchFamily="34" charset="0"/>
              <a:cs typeface="Arial" pitchFamily="34" charset="0"/>
            </a:rPr>
            <a:t>Y</a:t>
          </a:r>
          <a:r>
            <a:rPr lang="zh-CN" altLang="en-US" sz="1200" b="1">
              <a:latin typeface="Arial" pitchFamily="34" charset="0"/>
              <a:cs typeface="Arial" pitchFamily="34" charset="0"/>
            </a:rPr>
            <a:t>轴截距归零</a:t>
          </a:r>
          <a:endParaRPr lang="en-US" sz="1200" b="1">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editAs="absolute">
        <xdr:from>
          <xdr:col>0</xdr:col>
          <xdr:colOff>182880</xdr:colOff>
          <xdr:row>5</xdr:row>
          <xdr:rowOff>30480</xdr:rowOff>
        </xdr:from>
        <xdr:to>
          <xdr:col>1</xdr:col>
          <xdr:colOff>906780</xdr:colOff>
          <xdr:row>6</xdr:row>
          <xdr:rowOff>121920</xdr:rowOff>
        </xdr:to>
        <xdr:sp macro="" textlink="">
          <xdr:nvSpPr>
            <xdr:cNvPr id="12289" name="ViewCert"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 </a:t>
              </a:r>
              <a:r>
                <a:rPr lang="en-US" sz="1400" b="1" i="0" u="none" strike="noStrike" baseline="0">
                  <a:solidFill>
                    <a:srgbClr val="000000"/>
                  </a:solidFill>
                  <a:latin typeface="Arial"/>
                  <a:cs typeface="Arial"/>
                </a:rPr>
                <a:t>2) 查看校验证书</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6</xdr:row>
          <xdr:rowOff>30480</xdr:rowOff>
        </xdr:from>
        <xdr:to>
          <xdr:col>9</xdr:col>
          <xdr:colOff>7620</xdr:colOff>
          <xdr:row>7</xdr:row>
          <xdr:rowOff>144780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3) 查看校验证书</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838200</xdr:colOff>
          <xdr:row>7</xdr:row>
          <xdr:rowOff>45720</xdr:rowOff>
        </xdr:from>
        <xdr:to>
          <xdr:col>1</xdr:col>
          <xdr:colOff>1165860</xdr:colOff>
          <xdr:row>8</xdr:row>
          <xdr:rowOff>106680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100-000003300000}"/>
                </a:ext>
              </a:extLst>
            </xdr:cNvPr>
            <xdr:cNvSpPr/>
          </xdr:nvSpPr>
          <xdr:spPr bwMode="auto">
            <a:xfrm>
              <a:off x="0" y="0"/>
              <a:ext cx="0" cy="0"/>
            </a:xfrm>
            <a:prstGeom prst="rect">
              <a:avLst/>
            </a:prstGeom>
            <a:noFill/>
            <a:ln>
              <a:noFill/>
            </a:ln>
            <a:extLst>
              <a:ext uri="{909E8E84-426E-40DD-AFC4-6F175D3DCCD1}">
                <a14:hiddenFill>
                  <a:solidFill>
                    <a:srgbClr val="99CCFF"/>
                  </a:solidFill>
                </a14:hiddenFill>
              </a:ext>
              <a:ext uri="{91240B29-F687-4F45-9708-019B960494DF}">
                <a14:hiddenLine w="9525">
                  <a:solidFill>
                    <a:srgbClr val="33CCCC" mc:Ignorable="a14" a14:legacySpreadsheetColorIndex="49"/>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182880</xdr:colOff>
          <xdr:row>3</xdr:row>
          <xdr:rowOff>38100</xdr:rowOff>
        </xdr:from>
        <xdr:to>
          <xdr:col>1</xdr:col>
          <xdr:colOff>906780</xdr:colOff>
          <xdr:row>4</xdr:row>
          <xdr:rowOff>137160</xdr:rowOff>
        </xdr:to>
        <xdr:sp macro="" textlink="">
          <xdr:nvSpPr>
            <xdr:cNvPr id="12292" name="Button 4" descr=" 1) Import Data from File" hidden="1">
              <a:extLst>
                <a:ext uri="{63B3BB69-23CF-44E3-9099-C40C66FF867C}">
                  <a14:compatExt spid="_x0000_s12292"/>
                </a:ext>
                <a:ext uri="{FF2B5EF4-FFF2-40B4-BE49-F238E27FC236}">
                  <a16:creationId xmlns:a16="http://schemas.microsoft.com/office/drawing/2014/main" id="{00000000-0008-0000-0100-000004300000}"/>
                </a:ext>
              </a:extLst>
            </xdr:cNvPr>
            <xdr:cNvSpPr/>
          </xdr:nvSpPr>
          <xdr:spPr bwMode="auto">
            <a:xfrm>
              <a:off x="0" y="0"/>
              <a:ext cx="0" cy="0"/>
            </a:xfrm>
            <a:prstGeom prst="rect">
              <a:avLst/>
            </a:prstGeom>
            <a:noFill/>
            <a:ln w="9525">
              <a:miter lim="800000"/>
              <a:headEnd/>
              <a:tailEnd/>
            </a:ln>
          </xdr:spPr>
          <xdr:txBody>
            <a:bodyPr vertOverflow="clip" wrap="square" lIns="36576" tIns="36576" rIns="0" bIns="36576" anchor="ctr" upright="1"/>
            <a:lstStyle/>
            <a:p>
              <a:pPr algn="l" rtl="0">
                <a:defRPr sz="1000"/>
              </a:pPr>
              <a:r>
                <a:rPr lang="en-US" sz="1400" b="1" i="0" u="none" strike="noStrike" baseline="0">
                  <a:solidFill>
                    <a:srgbClr val="000000"/>
                  </a:solidFill>
                  <a:latin typeface="Calibri"/>
                  <a:ea typeface="Calibri"/>
                  <a:cs typeface="Calibri"/>
                </a:rPr>
                <a:t> 1) 导入文件数据</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152400</xdr:colOff>
          <xdr:row>9</xdr:row>
          <xdr:rowOff>38100</xdr:rowOff>
        </xdr:from>
        <xdr:to>
          <xdr:col>4</xdr:col>
          <xdr:colOff>1211580</xdr:colOff>
          <xdr:row>9</xdr:row>
          <xdr:rowOff>198120</xdr:rowOff>
        </xdr:to>
        <xdr:sp macro="" textlink="">
          <xdr:nvSpPr>
            <xdr:cNvPr id="12321" name="Button 33" hidden="1">
              <a:extLst>
                <a:ext uri="{63B3BB69-23CF-44E3-9099-C40C66FF867C}">
                  <a14:compatExt spid="_x0000_s12321"/>
                </a:ext>
                <a:ext uri="{FF2B5EF4-FFF2-40B4-BE49-F238E27FC236}">
                  <a16:creationId xmlns:a16="http://schemas.microsoft.com/office/drawing/2014/main" id="{00000000-0008-0000-0100-000021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清空表格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259080</xdr:colOff>
          <xdr:row>7</xdr:row>
          <xdr:rowOff>220980</xdr:rowOff>
        </xdr:from>
        <xdr:to>
          <xdr:col>10</xdr:col>
          <xdr:colOff>1318260</xdr:colOff>
          <xdr:row>8</xdr:row>
          <xdr:rowOff>152400</xdr:rowOff>
        </xdr:to>
        <xdr:sp macro="" textlink="">
          <xdr:nvSpPr>
            <xdr:cNvPr id="12391" name="Button 103" hidden="1">
              <a:extLst>
                <a:ext uri="{63B3BB69-23CF-44E3-9099-C40C66FF867C}">
                  <a14:compatExt spid="_x0000_s12391"/>
                </a:ext>
                <a:ext uri="{FF2B5EF4-FFF2-40B4-BE49-F238E27FC236}">
                  <a16:creationId xmlns:a16="http://schemas.microsoft.com/office/drawing/2014/main" id="{00000000-0008-0000-0100-000067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清空表格</a:t>
              </a:r>
            </a:p>
          </xdr:txBody>
        </xdr:sp>
        <xdr:clientData fPrintsWithSheet="0"/>
      </xdr:twoCellAnchor>
    </mc:Choice>
    <mc:Fallback/>
  </mc:AlternateContent>
  <xdr:twoCellAnchor editAs="oneCell">
    <xdr:from>
      <xdr:col>2</xdr:col>
      <xdr:colOff>562148</xdr:colOff>
      <xdr:row>0</xdr:row>
      <xdr:rowOff>0</xdr:rowOff>
    </xdr:from>
    <xdr:to>
      <xdr:col>4</xdr:col>
      <xdr:colOff>1022360</xdr:colOff>
      <xdr:row>4</xdr:row>
      <xdr:rowOff>209550</xdr:rowOff>
    </xdr:to>
    <xdr:grpSp>
      <xdr:nvGrpSpPr>
        <xdr:cNvPr id="12" name="Group 11">
          <a:extLst>
            <a:ext uri="{FF2B5EF4-FFF2-40B4-BE49-F238E27FC236}">
              <a16:creationId xmlns:a16="http://schemas.microsoft.com/office/drawing/2014/main" id="{00000000-0008-0000-0100-00000C000000}"/>
            </a:ext>
          </a:extLst>
        </xdr:cNvPr>
        <xdr:cNvGrpSpPr/>
      </xdr:nvGrpSpPr>
      <xdr:grpSpPr>
        <a:xfrm>
          <a:off x="3119081" y="0"/>
          <a:ext cx="3017146" cy="1123950"/>
          <a:chOff x="2979613" y="0"/>
          <a:chExt cx="2964206" cy="1123950"/>
        </a:xfrm>
      </xdr:grpSpPr>
      <xdr:sp macro="" textlink="">
        <xdr:nvSpPr>
          <xdr:cNvPr id="13" name="Rectangle 12">
            <a:extLst>
              <a:ext uri="{FF2B5EF4-FFF2-40B4-BE49-F238E27FC236}">
                <a16:creationId xmlns:a16="http://schemas.microsoft.com/office/drawing/2014/main" id="{00000000-0008-0000-0100-00000D000000}"/>
              </a:ext>
            </a:extLst>
          </xdr:cNvPr>
          <xdr:cNvSpPr/>
        </xdr:nvSpPr>
        <xdr:spPr>
          <a:xfrm>
            <a:off x="3669634" y="0"/>
            <a:ext cx="2274185" cy="505267"/>
          </a:xfrm>
          <a:prstGeom prst="rect">
            <a:avLst/>
          </a:prstGeom>
          <a:noFill/>
        </xdr:spPr>
        <xdr:txBody>
          <a:bodyPr wrap="square" lIns="91440" tIns="45720" rIns="91440" bIns="45720">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2800" b="0" i="0" u="none" strike="noStrike" kern="0" cap="none" spc="0" normalizeH="0" baseline="0" noProof="0">
                <a:ln w="10160">
                  <a:solidFill>
                    <a:srgbClr val="1F497D"/>
                  </a:solidFill>
                  <a:prstDash val="solid"/>
                </a:ln>
                <a:solidFill>
                  <a:srgbClr val="1F497D"/>
                </a:solidFill>
                <a:effectLst>
                  <a:outerShdw blurRad="38100" dist="32000" dir="5400000" algn="tl">
                    <a:srgbClr val="000000">
                      <a:alpha val="30000"/>
                    </a:srgbClr>
                  </a:outerShdw>
                </a:effectLst>
                <a:uLnTx/>
                <a:uFillTx/>
                <a:latin typeface="Arial" pitchFamily="34" charset="0"/>
                <a:ea typeface="+mn-ea"/>
                <a:cs typeface="Arial" pitchFamily="34" charset="0"/>
              </a:rPr>
              <a:t>HI-903 PRO</a:t>
            </a:r>
          </a:p>
        </xdr:txBody>
      </xdr:sp>
      <xdr:cxnSp macro="">
        <xdr:nvCxnSpPr>
          <xdr:cNvPr id="14" name="Straight Connector 13">
            <a:extLst>
              <a:ext uri="{FF2B5EF4-FFF2-40B4-BE49-F238E27FC236}">
                <a16:creationId xmlns:a16="http://schemas.microsoft.com/office/drawing/2014/main" id="{00000000-0008-0000-0100-00000E000000}"/>
              </a:ext>
            </a:extLst>
          </xdr:cNvPr>
          <xdr:cNvCxnSpPr/>
        </xdr:nvCxnSpPr>
        <xdr:spPr>
          <a:xfrm>
            <a:off x="2979613" y="114300"/>
            <a:ext cx="0"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247650</xdr:colOff>
      <xdr:row>0</xdr:row>
      <xdr:rowOff>0</xdr:rowOff>
    </xdr:from>
    <xdr:to>
      <xdr:col>1</xdr:col>
      <xdr:colOff>942975</xdr:colOff>
      <xdr:row>3</xdr:row>
      <xdr:rowOff>27198</xdr:rowOff>
    </xdr:to>
    <xdr:pic>
      <xdr:nvPicPr>
        <xdr:cNvPr id="9" name="Picture 8">
          <a:extLst>
            <a:ext uri="{FF2B5EF4-FFF2-40B4-BE49-F238E27FC236}">
              <a16:creationId xmlns:a16="http://schemas.microsoft.com/office/drawing/2014/main" id="{5D68EE02-7D6A-4EE9-A74F-AEEE11B961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7650" y="0"/>
          <a:ext cx="1943100" cy="71299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4</xdr:col>
          <xdr:colOff>708660</xdr:colOff>
          <xdr:row>0</xdr:row>
          <xdr:rowOff>198120</xdr:rowOff>
        </xdr:from>
        <xdr:to>
          <xdr:col>5</xdr:col>
          <xdr:colOff>1021080</xdr:colOff>
          <xdr:row>2</xdr:row>
          <xdr:rowOff>76200</xdr:rowOff>
        </xdr:to>
        <xdr:sp macro="" textlink="">
          <xdr:nvSpPr>
            <xdr:cNvPr id="16435" name="Button 51" descr=" 1) Import Data from File" hidden="1">
              <a:extLst>
                <a:ext uri="{63B3BB69-23CF-44E3-9099-C40C66FF867C}">
                  <a14:compatExt spid="_x0000_s16435"/>
                </a:ext>
                <a:ext uri="{FF2B5EF4-FFF2-40B4-BE49-F238E27FC236}">
                  <a16:creationId xmlns:a16="http://schemas.microsoft.com/office/drawing/2014/main" id="{00000000-0008-0000-0200-000033400000}"/>
                </a:ext>
              </a:extLst>
            </xdr:cNvPr>
            <xdr:cNvSpPr/>
          </xdr:nvSpPr>
          <xdr:spPr bwMode="auto">
            <a:xfrm>
              <a:off x="0" y="0"/>
              <a:ext cx="0" cy="0"/>
            </a:xfrm>
            <a:prstGeom prst="rect">
              <a:avLst/>
            </a:prstGeom>
            <a:noFill/>
            <a:ln w="9525">
              <a:miter lim="800000"/>
              <a:headEnd/>
              <a:tailEnd/>
            </a:ln>
          </xdr:spPr>
          <xdr:txBody>
            <a:bodyPr vertOverflow="clip" wrap="square" lIns="36576" tIns="36576" rIns="0" bIns="36576" anchor="ctr" upright="1"/>
            <a:lstStyle/>
            <a:p>
              <a:pPr algn="l" rtl="0">
                <a:defRPr sz="1000"/>
              </a:pPr>
              <a:r>
                <a:rPr lang="en-US" sz="1400" b="1" i="0" u="none" strike="noStrike" baseline="0">
                  <a:solidFill>
                    <a:srgbClr val="000000"/>
                  </a:solidFill>
                  <a:latin typeface="Calibri"/>
                  <a:ea typeface="Calibri"/>
                  <a:cs typeface="Calibri"/>
                </a:rPr>
                <a:t> 1) 表格自动填充</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708660</xdr:colOff>
          <xdr:row>3</xdr:row>
          <xdr:rowOff>60960</xdr:rowOff>
        </xdr:from>
        <xdr:to>
          <xdr:col>5</xdr:col>
          <xdr:colOff>1021080</xdr:colOff>
          <xdr:row>4</xdr:row>
          <xdr:rowOff>160020</xdr:rowOff>
        </xdr:to>
        <xdr:sp macro="" textlink="">
          <xdr:nvSpPr>
            <xdr:cNvPr id="16436" name="Button 52" descr=" 2) Create Route File" hidden="1">
              <a:extLst>
                <a:ext uri="{63B3BB69-23CF-44E3-9099-C40C66FF867C}">
                  <a14:compatExt spid="_x0000_s16436"/>
                </a:ext>
                <a:ext uri="{FF2B5EF4-FFF2-40B4-BE49-F238E27FC236}">
                  <a16:creationId xmlns:a16="http://schemas.microsoft.com/office/drawing/2014/main" id="{00000000-0008-0000-0200-000034400000}"/>
                </a:ext>
              </a:extLst>
            </xdr:cNvPr>
            <xdr:cNvSpPr/>
          </xdr:nvSpPr>
          <xdr:spPr bwMode="auto">
            <a:xfrm>
              <a:off x="0" y="0"/>
              <a:ext cx="0" cy="0"/>
            </a:xfrm>
            <a:prstGeom prst="rect">
              <a:avLst/>
            </a:prstGeom>
            <a:noFill/>
            <a:ln w="9525">
              <a:miter lim="800000"/>
              <a:headEnd/>
              <a:tailEnd/>
            </a:ln>
          </xdr:spPr>
          <xdr:txBody>
            <a:bodyPr vertOverflow="clip" wrap="square" lIns="36576" tIns="36576" rIns="0" bIns="36576" anchor="ctr" upright="1"/>
            <a:lstStyle/>
            <a:p>
              <a:pPr algn="l" rtl="0">
                <a:defRPr sz="1000"/>
              </a:pPr>
              <a:r>
                <a:rPr lang="en-US" sz="1400" b="1" i="0" u="none" strike="noStrike" baseline="0">
                  <a:solidFill>
                    <a:srgbClr val="000000"/>
                  </a:solidFill>
                  <a:latin typeface="Calibri"/>
                  <a:ea typeface="Calibri"/>
                  <a:cs typeface="Calibri"/>
                </a:rPr>
                <a:t> 2) 生成路径文件</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312420</xdr:colOff>
          <xdr:row>9</xdr:row>
          <xdr:rowOff>76200</xdr:rowOff>
        </xdr:from>
        <xdr:to>
          <xdr:col>5</xdr:col>
          <xdr:colOff>1371600</xdr:colOff>
          <xdr:row>10</xdr:row>
          <xdr:rowOff>7620</xdr:rowOff>
        </xdr:to>
        <xdr:sp macro="" textlink="">
          <xdr:nvSpPr>
            <xdr:cNvPr id="16441" name="Button 57" hidden="1">
              <a:extLst>
                <a:ext uri="{63B3BB69-23CF-44E3-9099-C40C66FF867C}">
                  <a14:compatExt spid="_x0000_s16441"/>
                </a:ext>
                <a:ext uri="{FF2B5EF4-FFF2-40B4-BE49-F238E27FC236}">
                  <a16:creationId xmlns:a16="http://schemas.microsoft.com/office/drawing/2014/main" id="{00000000-0008-0000-0200-000039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重置表格</a:t>
              </a:r>
            </a:p>
          </xdr:txBody>
        </xdr:sp>
        <xdr:clientData fPrintsWithSheet="0"/>
      </xdr:twoCellAnchor>
    </mc:Choice>
    <mc:Fallback/>
  </mc:AlternateContent>
  <xdr:twoCellAnchor editAs="absolute">
    <xdr:from>
      <xdr:col>1</xdr:col>
      <xdr:colOff>1390951</xdr:colOff>
      <xdr:row>0</xdr:row>
      <xdr:rowOff>0</xdr:rowOff>
    </xdr:from>
    <xdr:to>
      <xdr:col>3</xdr:col>
      <xdr:colOff>600066</xdr:colOff>
      <xdr:row>4</xdr:row>
      <xdr:rowOff>219075</xdr:rowOff>
    </xdr:to>
    <xdr:grpSp>
      <xdr:nvGrpSpPr>
        <xdr:cNvPr id="8" name="Group 7">
          <a:extLst>
            <a:ext uri="{FF2B5EF4-FFF2-40B4-BE49-F238E27FC236}">
              <a16:creationId xmlns:a16="http://schemas.microsoft.com/office/drawing/2014/main" id="{00000000-0008-0000-0200-000008000000}"/>
            </a:ext>
          </a:extLst>
        </xdr:cNvPr>
        <xdr:cNvGrpSpPr/>
      </xdr:nvGrpSpPr>
      <xdr:grpSpPr>
        <a:xfrm>
          <a:off x="3082591" y="0"/>
          <a:ext cx="2592395" cy="1133475"/>
          <a:chOff x="3369166" y="0"/>
          <a:chExt cx="2536821" cy="1123950"/>
        </a:xfrm>
      </xdr:grpSpPr>
      <xdr:sp macro="" textlink="">
        <xdr:nvSpPr>
          <xdr:cNvPr id="9" name="Rectangle 8">
            <a:extLst>
              <a:ext uri="{FF2B5EF4-FFF2-40B4-BE49-F238E27FC236}">
                <a16:creationId xmlns:a16="http://schemas.microsoft.com/office/drawing/2014/main" id="{00000000-0008-0000-0200-000009000000}"/>
              </a:ext>
            </a:extLst>
          </xdr:cNvPr>
          <xdr:cNvSpPr/>
        </xdr:nvSpPr>
        <xdr:spPr>
          <a:xfrm>
            <a:off x="3631802" y="0"/>
            <a:ext cx="2274185" cy="505267"/>
          </a:xfrm>
          <a:prstGeom prst="rect">
            <a:avLst/>
          </a:prstGeom>
          <a:noFill/>
        </xdr:spPr>
        <xdr:txBody>
          <a:bodyPr wrap="square" lIns="91440" tIns="45720" rIns="91440" bIns="45720">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2800" b="0" i="0" u="none" strike="noStrike" kern="0" cap="none" spc="0" normalizeH="0" baseline="0" noProof="0">
                <a:ln w="10160">
                  <a:solidFill>
                    <a:srgbClr val="1F497D"/>
                  </a:solidFill>
                  <a:prstDash val="solid"/>
                </a:ln>
                <a:solidFill>
                  <a:srgbClr val="1F497D"/>
                </a:solidFill>
                <a:effectLst>
                  <a:outerShdw blurRad="38100" dist="32000" dir="5400000" algn="tl">
                    <a:srgbClr val="000000">
                      <a:alpha val="30000"/>
                    </a:srgbClr>
                  </a:outerShdw>
                </a:effectLst>
                <a:uLnTx/>
                <a:uFillTx/>
                <a:latin typeface="Arial" pitchFamily="34" charset="0"/>
                <a:ea typeface="+mn-ea"/>
                <a:cs typeface="Arial" pitchFamily="34" charset="0"/>
              </a:rPr>
              <a:t>HI-903 PRO</a:t>
            </a:r>
          </a:p>
        </xdr:txBody>
      </xdr:sp>
      <xdr:cxnSp macro="">
        <xdr:nvCxnSpPr>
          <xdr:cNvPr id="10" name="Straight Connector 9">
            <a:extLst>
              <a:ext uri="{FF2B5EF4-FFF2-40B4-BE49-F238E27FC236}">
                <a16:creationId xmlns:a16="http://schemas.microsoft.com/office/drawing/2014/main" id="{00000000-0008-0000-0200-00000A000000}"/>
              </a:ext>
            </a:extLst>
          </xdr:cNvPr>
          <xdr:cNvCxnSpPr/>
        </xdr:nvCxnSpPr>
        <xdr:spPr>
          <a:xfrm>
            <a:off x="3369166" y="114300"/>
            <a:ext cx="0"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276226</xdr:colOff>
      <xdr:row>0</xdr:row>
      <xdr:rowOff>66675</xdr:rowOff>
    </xdr:from>
    <xdr:to>
      <xdr:col>1</xdr:col>
      <xdr:colOff>1162051</xdr:colOff>
      <xdr:row>4</xdr:row>
      <xdr:rowOff>81915</xdr:rowOff>
    </xdr:to>
    <xdr:pic>
      <xdr:nvPicPr>
        <xdr:cNvPr id="4" name="Picture 3">
          <a:extLst>
            <a:ext uri="{FF2B5EF4-FFF2-40B4-BE49-F238E27FC236}">
              <a16:creationId xmlns:a16="http://schemas.microsoft.com/office/drawing/2014/main" id="{712454A4-15C4-4F09-8260-531B6BEDC1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6226" y="66675"/>
          <a:ext cx="2533650" cy="9201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24</xdr:row>
          <xdr:rowOff>186689</xdr:rowOff>
        </xdr:from>
        <xdr:to>
          <xdr:col>10</xdr:col>
          <xdr:colOff>896112</xdr:colOff>
          <xdr:row>28</xdr:row>
          <xdr:rowOff>183641</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7246620" y="3912869"/>
              <a:ext cx="896112" cy="736092"/>
              <a:chOff x="6777990" y="4202375"/>
              <a:chExt cx="819150" cy="764033"/>
            </a:xfrm>
          </xdr:grpSpPr>
          <xdr:sp macro="" textlink="">
            <xdr:nvSpPr>
              <xdr:cNvPr id="28675" name="LT_FREQ_UNIT" hidden="1">
                <a:extLst>
                  <a:ext uri="{63B3BB69-23CF-44E3-9099-C40C66FF867C}">
                    <a14:compatExt spid="_x0000_s28675"/>
                  </a:ext>
                  <a:ext uri="{FF2B5EF4-FFF2-40B4-BE49-F238E27FC236}">
                    <a16:creationId xmlns:a16="http://schemas.microsoft.com/office/drawing/2014/main" id="{00000000-0008-0000-0300-000003700000}"/>
                  </a:ext>
                </a:extLst>
              </xdr:cNvPr>
              <xdr:cNvSpPr/>
            </xdr:nvSpPr>
            <xdr:spPr bwMode="auto">
              <a:xfrm>
                <a:off x="6777990" y="4202375"/>
                <a:ext cx="819150" cy="200025"/>
              </a:xfrm>
              <a:prstGeom prst="rect">
                <a:avLst/>
              </a:prstGeom>
              <a:noFill/>
              <a:ln>
                <a:noFill/>
              </a:ln>
              <a:extLst>
                <a:ext uri="{91240B29-F687-4F45-9708-019B960494DF}">
                  <a14:hiddenLine w="9525">
                    <a:noFill/>
                    <a:miter lim="800000"/>
                    <a:headEnd/>
                    <a:tailEnd/>
                  </a14:hiddenLine>
                </a:ext>
              </a:extLst>
            </xdr:spPr>
          </xdr:sp>
          <xdr:sp macro="" textlink="">
            <xdr:nvSpPr>
              <xdr:cNvPr id="28677" name="FR_AMPL_UNIT" hidden="1">
                <a:extLst>
                  <a:ext uri="{63B3BB69-23CF-44E3-9099-C40C66FF867C}">
                    <a14:compatExt spid="_x0000_s28677"/>
                  </a:ext>
                  <a:ext uri="{FF2B5EF4-FFF2-40B4-BE49-F238E27FC236}">
                    <a16:creationId xmlns:a16="http://schemas.microsoft.com/office/drawing/2014/main" id="{00000000-0008-0000-0300-000005700000}"/>
                  </a:ext>
                </a:extLst>
              </xdr:cNvPr>
              <xdr:cNvSpPr/>
            </xdr:nvSpPr>
            <xdr:spPr bwMode="auto">
              <a:xfrm>
                <a:off x="6777990" y="4766383"/>
                <a:ext cx="819150" cy="2000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137160</xdr:colOff>
          <xdr:row>3</xdr:row>
          <xdr:rowOff>38100</xdr:rowOff>
        </xdr:from>
        <xdr:to>
          <xdr:col>12</xdr:col>
          <xdr:colOff>280035</xdr:colOff>
          <xdr:row>10</xdr:row>
          <xdr:rowOff>92529</xdr:rowOff>
        </xdr:to>
        <xdr:grpSp>
          <xdr:nvGrpSpPr>
            <xdr:cNvPr id="4" name="Group 3">
              <a:extLst>
                <a:ext uri="{FF2B5EF4-FFF2-40B4-BE49-F238E27FC236}">
                  <a16:creationId xmlns:a16="http://schemas.microsoft.com/office/drawing/2014/main" id="{00000000-0008-0000-0300-000004000000}"/>
                </a:ext>
              </a:extLst>
            </xdr:cNvPr>
            <xdr:cNvGrpSpPr/>
          </xdr:nvGrpSpPr>
          <xdr:grpSpPr>
            <a:xfrm>
              <a:off x="7383780" y="548640"/>
              <a:ext cx="1400175" cy="1342209"/>
              <a:chOff x="7219678" y="568777"/>
              <a:chExt cx="1367518" cy="1387931"/>
            </a:xfrm>
          </xdr:grpSpPr>
          <xdr:sp macro="" textlink="">
            <xdr:nvSpPr>
              <xdr:cNvPr id="28681" name="P_LTC" hidden="1">
                <a:extLst>
                  <a:ext uri="{63B3BB69-23CF-44E3-9099-C40C66FF867C}">
                    <a14:compatExt spid="_x0000_s28681"/>
                  </a:ext>
                  <a:ext uri="{FF2B5EF4-FFF2-40B4-BE49-F238E27FC236}">
                    <a16:creationId xmlns:a16="http://schemas.microsoft.com/office/drawing/2014/main" id="{00000000-0008-0000-0300-000009700000}"/>
                  </a:ext>
                </a:extLst>
              </xdr:cNvPr>
              <xdr:cNvSpPr/>
            </xdr:nvSpPr>
            <xdr:spPr bwMode="auto">
              <a:xfrm>
                <a:off x="7219678" y="568777"/>
                <a:ext cx="1367518" cy="457205"/>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Calibri"/>
                    <a:ea typeface="Calibri"/>
                    <a:cs typeface="Calibri"/>
                  </a:rPr>
                  <a:t>打印线性测试校验证书</a:t>
                </a:r>
              </a:p>
            </xdr:txBody>
          </xdr:sp>
          <xdr:sp macro="" textlink="">
            <xdr:nvSpPr>
              <xdr:cNvPr id="28682" name="P_FTC" hidden="1">
                <a:extLst>
                  <a:ext uri="{63B3BB69-23CF-44E3-9099-C40C66FF867C}">
                    <a14:compatExt spid="_x0000_s28682"/>
                  </a:ext>
                  <a:ext uri="{FF2B5EF4-FFF2-40B4-BE49-F238E27FC236}">
                    <a16:creationId xmlns:a16="http://schemas.microsoft.com/office/drawing/2014/main" id="{00000000-0008-0000-0300-00000A700000}"/>
                  </a:ext>
                </a:extLst>
              </xdr:cNvPr>
              <xdr:cNvSpPr/>
            </xdr:nvSpPr>
            <xdr:spPr bwMode="auto">
              <a:xfrm>
                <a:off x="7219678" y="1111704"/>
                <a:ext cx="1367518" cy="45720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Calibri"/>
                    <a:ea typeface="Calibri"/>
                    <a:cs typeface="Calibri"/>
                  </a:rPr>
                  <a:t>打印频率响应测试证书</a:t>
                </a:r>
              </a:p>
            </xdr:txBody>
          </xdr:sp>
          <xdr:sp macro="" textlink="">
            <xdr:nvSpPr>
              <xdr:cNvPr id="28683" name="RESET" hidden="1">
                <a:extLst>
                  <a:ext uri="{63B3BB69-23CF-44E3-9099-C40C66FF867C}">
                    <a14:compatExt spid="_x0000_s28683"/>
                  </a:ext>
                  <a:ext uri="{FF2B5EF4-FFF2-40B4-BE49-F238E27FC236}">
                    <a16:creationId xmlns:a16="http://schemas.microsoft.com/office/drawing/2014/main" id="{00000000-0008-0000-0300-00000B700000}"/>
                  </a:ext>
                </a:extLst>
              </xdr:cNvPr>
              <xdr:cNvSpPr/>
            </xdr:nvSpPr>
            <xdr:spPr bwMode="auto">
              <a:xfrm>
                <a:off x="7219678" y="1680483"/>
                <a:ext cx="1367518" cy="276225"/>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Calibri"/>
                    <a:ea typeface="Calibri"/>
                    <a:cs typeface="Calibri"/>
                  </a:rPr>
                  <a:t>重置表格</a:t>
                </a:r>
              </a:p>
            </xdr:txBody>
          </xdr:sp>
        </xdr:grp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464820</xdr:colOff>
          <xdr:row>24</xdr:row>
          <xdr:rowOff>15240</xdr:rowOff>
        </xdr:from>
        <xdr:to>
          <xdr:col>9</xdr:col>
          <xdr:colOff>746760</xdr:colOff>
          <xdr:row>26</xdr:row>
          <xdr:rowOff>106680</xdr:rowOff>
        </xdr:to>
        <xdr:sp macro="" textlink="">
          <xdr:nvSpPr>
            <xdr:cNvPr id="28685" name="LOAD_FREQ_TR" hidden="1">
              <a:extLst>
                <a:ext uri="{63B3BB69-23CF-44E3-9099-C40C66FF867C}">
                  <a14:compatExt spid="_x0000_s28685"/>
                </a:ext>
                <a:ext uri="{FF2B5EF4-FFF2-40B4-BE49-F238E27FC236}">
                  <a16:creationId xmlns:a16="http://schemas.microsoft.com/office/drawing/2014/main" id="{00000000-0008-0000-0300-00000D7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Load Frequency Test Route</a:t>
              </a:r>
            </a:p>
          </xdr:txBody>
        </xdr:sp>
        <xdr:clientData fPrintsWithSheet="0"/>
      </xdr:twoCellAnchor>
    </mc:Choice>
    <mc:Fallback/>
  </mc:AlternateContent>
  <xdr:twoCellAnchor editAs="absolute">
    <xdr:from>
      <xdr:col>9</xdr:col>
      <xdr:colOff>0</xdr:colOff>
      <xdr:row>30</xdr:row>
      <xdr:rowOff>127633</xdr:rowOff>
    </xdr:from>
    <xdr:to>
      <xdr:col>12</xdr:col>
      <xdr:colOff>280035</xdr:colOff>
      <xdr:row>40</xdr:row>
      <xdr:rowOff>127633</xdr:rowOff>
    </xdr:to>
    <xdr:sp macro="" textlink="">
      <xdr:nvSpPr>
        <xdr:cNvPr id="5" name="Rounded Rectangle 4">
          <a:extLst>
            <a:ext uri="{FF2B5EF4-FFF2-40B4-BE49-F238E27FC236}">
              <a16:creationId xmlns:a16="http://schemas.microsoft.com/office/drawing/2014/main" id="{00000000-0008-0000-0300-000005000000}"/>
            </a:ext>
          </a:extLst>
        </xdr:cNvPr>
        <xdr:cNvSpPr/>
      </xdr:nvSpPr>
      <xdr:spPr>
        <a:xfrm>
          <a:off x="6162675" y="5153023"/>
          <a:ext cx="2423160" cy="1920240"/>
        </a:xfrm>
        <a:prstGeom prst="roundRect">
          <a:avLst/>
        </a:prstGeom>
        <a:no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zh-CN" altLang="en-US" sz="1100">
              <a:solidFill>
                <a:sysClr val="windowText" lastClr="000000"/>
              </a:solidFill>
            </a:rPr>
            <a:t>受振动台自身性能限制，无法在全转速下维持恒定幅值，亦无法在全幅值工况下维持恒定频率。</a:t>
          </a:r>
          <a:endParaRPr lang="en-US" altLang="zh-CN" sz="1100">
            <a:solidFill>
              <a:sysClr val="windowText" lastClr="000000"/>
            </a:solidFill>
          </a:endParaRPr>
        </a:p>
        <a:p>
          <a:pPr algn="l"/>
          <a:r>
            <a:rPr lang="zh-CN" altLang="en-US" sz="1100" baseline="0">
              <a:solidFill>
                <a:sysClr val="windowText" lastClr="000000"/>
              </a:solidFill>
            </a:rPr>
            <a:t>如遇上述情况，尽管校验结果依然有效，但最佳操作规范要求在证书的备注栏中对激励信号无法满足要求的测试点进行记录说明。</a:t>
          </a:r>
          <a:r>
            <a:rPr lang="en-US" sz="1100" baseline="0">
              <a:solidFill>
                <a:sysClr val="windowText" lastClr="000000"/>
              </a:solidFill>
            </a:rPr>
            <a:t> </a:t>
          </a:r>
          <a:endParaRPr lang="en-US" sz="110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7</xdr:col>
          <xdr:colOff>5714</xdr:colOff>
          <xdr:row>4</xdr:row>
          <xdr:rowOff>5715</xdr:rowOff>
        </xdr:from>
        <xdr:to>
          <xdr:col>8</xdr:col>
          <xdr:colOff>184022</xdr:colOff>
          <xdr:row>12</xdr:row>
          <xdr:rowOff>186690</xdr:rowOff>
        </xdr:to>
        <xdr:grpSp>
          <xdr:nvGrpSpPr>
            <xdr:cNvPr id="3" name="Group 2">
              <a:extLst>
                <a:ext uri="{FF2B5EF4-FFF2-40B4-BE49-F238E27FC236}">
                  <a16:creationId xmlns:a16="http://schemas.microsoft.com/office/drawing/2014/main" id="{00000000-0008-0000-0300-000003000000}"/>
                </a:ext>
              </a:extLst>
            </xdr:cNvPr>
            <xdr:cNvGrpSpPr/>
          </xdr:nvGrpSpPr>
          <xdr:grpSpPr>
            <a:xfrm>
              <a:off x="4783454" y="699135"/>
              <a:ext cx="1046988" cy="1651635"/>
              <a:chOff x="4467224" y="733426"/>
              <a:chExt cx="1024128" cy="1704975"/>
            </a:xfrm>
          </xdr:grpSpPr>
          <xdr:sp macro="" textlink="">
            <xdr:nvSpPr>
              <xdr:cNvPr id="28674" name="MIN_FREQ" hidden="1">
                <a:extLst>
                  <a:ext uri="{63B3BB69-23CF-44E3-9099-C40C66FF867C}">
                    <a14:compatExt spid="_x0000_s28674"/>
                  </a:ext>
                  <a:ext uri="{FF2B5EF4-FFF2-40B4-BE49-F238E27FC236}">
                    <a16:creationId xmlns:a16="http://schemas.microsoft.com/office/drawing/2014/main" id="{00000000-0008-0000-0300-000002700000}"/>
                  </a:ext>
                </a:extLst>
              </xdr:cNvPr>
              <xdr:cNvSpPr/>
            </xdr:nvSpPr>
            <xdr:spPr bwMode="auto">
              <a:xfrm>
                <a:off x="4467224" y="1301115"/>
                <a:ext cx="1024128" cy="182881"/>
              </a:xfrm>
              <a:prstGeom prst="rect">
                <a:avLst/>
              </a:prstGeom>
              <a:noFill/>
              <a:ln>
                <a:noFill/>
              </a:ln>
              <a:extLst>
                <a:ext uri="{91240B29-F687-4F45-9708-019B960494DF}">
                  <a14:hiddenLine w="9525">
                    <a:noFill/>
                    <a:miter lim="800000"/>
                    <a:headEnd/>
                    <a:tailEnd/>
                  </a14:hiddenLine>
                </a:ext>
              </a:extLst>
            </xdr:spPr>
          </xdr:sp>
          <xdr:sp macro="" textlink="">
            <xdr:nvSpPr>
              <xdr:cNvPr id="28679" name="WINDOW_TYPE" hidden="1">
                <a:extLst>
                  <a:ext uri="{63B3BB69-23CF-44E3-9099-C40C66FF867C}">
                    <a14:compatExt spid="_x0000_s28679"/>
                  </a:ext>
                  <a:ext uri="{FF2B5EF4-FFF2-40B4-BE49-F238E27FC236}">
                    <a16:creationId xmlns:a16="http://schemas.microsoft.com/office/drawing/2014/main" id="{00000000-0008-0000-0300-000007700000}"/>
                  </a:ext>
                </a:extLst>
              </xdr:cNvPr>
              <xdr:cNvSpPr/>
            </xdr:nvSpPr>
            <xdr:spPr bwMode="auto">
              <a:xfrm>
                <a:off x="4467224" y="1876425"/>
                <a:ext cx="1024128" cy="180975"/>
              </a:xfrm>
              <a:prstGeom prst="rect">
                <a:avLst/>
              </a:prstGeom>
              <a:noFill/>
              <a:ln>
                <a:noFill/>
              </a:ln>
              <a:extLst>
                <a:ext uri="{91240B29-F687-4F45-9708-019B960494DF}">
                  <a14:hiddenLine w="9525">
                    <a:noFill/>
                    <a:miter lim="800000"/>
                    <a:headEnd/>
                    <a:tailEnd/>
                  </a14:hiddenLine>
                </a:ext>
              </a:extLst>
            </xdr:spPr>
          </xdr:sp>
          <xdr:sp macro="" textlink="">
            <xdr:nvSpPr>
              <xdr:cNvPr id="28680" name="U_SENS" hidden="1">
                <a:extLst>
                  <a:ext uri="{63B3BB69-23CF-44E3-9099-C40C66FF867C}">
                    <a14:compatExt spid="_x0000_s28680"/>
                  </a:ext>
                  <a:ext uri="{FF2B5EF4-FFF2-40B4-BE49-F238E27FC236}">
                    <a16:creationId xmlns:a16="http://schemas.microsoft.com/office/drawing/2014/main" id="{00000000-0008-0000-0300-000008700000}"/>
                  </a:ext>
                </a:extLst>
              </xdr:cNvPr>
              <xdr:cNvSpPr/>
            </xdr:nvSpPr>
            <xdr:spPr bwMode="auto">
              <a:xfrm>
                <a:off x="4467224" y="2257426"/>
                <a:ext cx="1024128" cy="180975"/>
              </a:xfrm>
              <a:prstGeom prst="rect">
                <a:avLst/>
              </a:prstGeom>
              <a:noFill/>
              <a:ln>
                <a:noFill/>
              </a:ln>
              <a:extLst>
                <a:ext uri="{91240B29-F687-4F45-9708-019B960494DF}">
                  <a14:hiddenLine w="9525">
                    <a:noFill/>
                    <a:miter lim="800000"/>
                    <a:headEnd/>
                    <a:tailEnd/>
                  </a14:hiddenLine>
                </a:ext>
              </a:extLst>
            </xdr:spPr>
          </xdr:sp>
          <xdr:sp macro="" textlink="">
            <xdr:nvSpPr>
              <xdr:cNvPr id="28689" name="ANALYZER_MODE" hidden="1">
                <a:extLst>
                  <a:ext uri="{63B3BB69-23CF-44E3-9099-C40C66FF867C}">
                    <a14:compatExt spid="_x0000_s28689"/>
                  </a:ext>
                  <a:ext uri="{FF2B5EF4-FFF2-40B4-BE49-F238E27FC236}">
                    <a16:creationId xmlns:a16="http://schemas.microsoft.com/office/drawing/2014/main" id="{00000000-0008-0000-0300-000011700000}"/>
                  </a:ext>
                </a:extLst>
              </xdr:cNvPr>
              <xdr:cNvSpPr/>
            </xdr:nvSpPr>
            <xdr:spPr bwMode="auto">
              <a:xfrm>
                <a:off x="4467224" y="733426"/>
                <a:ext cx="1024128" cy="180976"/>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0</xdr:colOff>
      <xdr:row>9</xdr:row>
      <xdr:rowOff>0</xdr:rowOff>
    </xdr:from>
    <xdr:to>
      <xdr:col>11</xdr:col>
      <xdr:colOff>590550</xdr:colOff>
      <xdr:row>25</xdr:row>
      <xdr:rowOff>0</xdr:rowOff>
    </xdr:to>
    <xdr:graphicFrame macro="">
      <xdr:nvGraphicFramePr>
        <xdr:cNvPr id="13366" name="Chart 1">
          <a:extLst>
            <a:ext uri="{FF2B5EF4-FFF2-40B4-BE49-F238E27FC236}">
              <a16:creationId xmlns:a16="http://schemas.microsoft.com/office/drawing/2014/main" id="{00000000-0008-0000-0400-0000363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10</xdr:row>
      <xdr:rowOff>47625</xdr:rowOff>
    </xdr:from>
    <xdr:to>
      <xdr:col>28</xdr:col>
      <xdr:colOff>161925</xdr:colOff>
      <xdr:row>24</xdr:row>
      <xdr:rowOff>152400</xdr:rowOff>
    </xdr:to>
    <xdr:graphicFrame macro="">
      <xdr:nvGraphicFramePr>
        <xdr:cNvPr id="14384" name="Chart 2">
          <a:extLst>
            <a:ext uri="{FF2B5EF4-FFF2-40B4-BE49-F238E27FC236}">
              <a16:creationId xmlns:a16="http://schemas.microsoft.com/office/drawing/2014/main" id="{00000000-0008-0000-0500-0000303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7.xml><?xml version="1.0" encoding="utf-8"?>
<xdr:wsDr xmlns:xdr="http://schemas.openxmlformats.org/drawingml/2006/spreadsheetDrawing" xmlns:a="http://schemas.openxmlformats.org/drawingml/2006/main">
  <xdr:twoCellAnchor>
    <xdr:from>
      <xdr:col>0</xdr:col>
      <xdr:colOff>85725</xdr:colOff>
      <xdr:row>10</xdr:row>
      <xdr:rowOff>47625</xdr:rowOff>
    </xdr:from>
    <xdr:to>
      <xdr:col>28</xdr:col>
      <xdr:colOff>158115</xdr:colOff>
      <xdr:row>25</xdr:row>
      <xdr:rowOff>0</xdr:rowOff>
    </xdr:to>
    <xdr:graphicFrame macro="">
      <xdr:nvGraphicFramePr>
        <xdr:cNvPr id="15408" name="Chart 2">
          <a:extLst>
            <a:ext uri="{FF2B5EF4-FFF2-40B4-BE49-F238E27FC236}">
              <a16:creationId xmlns:a16="http://schemas.microsoft.com/office/drawing/2014/main" id="{00000000-0008-0000-0600-000030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8.xml><?xml version="1.0" encoding="utf-8"?>
<xdr:wsDr xmlns:xdr="http://schemas.openxmlformats.org/drawingml/2006/spreadsheetDrawing" xmlns:a="http://schemas.openxmlformats.org/drawingml/2006/main">
  <xdr:twoCellAnchor editAs="absolute">
    <xdr:from>
      <xdr:col>0</xdr:col>
      <xdr:colOff>57149</xdr:colOff>
      <xdr:row>17</xdr:row>
      <xdr:rowOff>14287</xdr:rowOff>
    </xdr:from>
    <xdr:to>
      <xdr:col>14</xdr:col>
      <xdr:colOff>257174</xdr:colOff>
      <xdr:row>30</xdr:row>
      <xdr:rowOff>126682</xdr:rowOff>
    </xdr:to>
    <xdr:graphicFrame macro="">
      <xdr:nvGraphicFramePr>
        <xdr:cNvPr id="2" name="VibeCalChart">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Engineering\Product%20Release\9155\9155%20Version%204.12.3%20(KLM)\Distribute%20with%20Product\Default%20CD\Excel\9155C%20Excel%20Report.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roperind-my.sharepoint.com/personal/barret_li_metrixvibration_com/Documents/Desktop/New%20folder/Jack&#35201;&#27714;&#32763;&#35793;/&#24453;&#32763;&#35793;/Metrix_MD-0294-revJ%20(HI-903%20Report%20Generation%20Workbook%20-%20ver3-2-4)%20-%20Apr%202026.xlsm" TargetMode="External"/><Relationship Id="rId1" Type="http://schemas.openxmlformats.org/officeDocument/2006/relationships/externalLinkPath" Target="https://roperind-my.sharepoint.com/personal/barret_li_metrixvibration_com/Documents/Desktop/New%20folder/Jack&#35201;&#27714;&#32763;&#35793;/&#24453;&#32763;&#35793;/Metrix_MD-0294-revJ%20(HI-903%20Report%20Generation%20Workbook%20-%20ver3-2-4)%20-%20Apr%2020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q"/>
      <sheetName val="Freq_Reso"/>
      <sheetName val="Linearity"/>
      <sheetName val="Linearity2"/>
      <sheetName val="Shock"/>
      <sheetName val="Pressure"/>
      <sheetName val="Verification"/>
      <sheetName val="Freq_Equip"/>
      <sheetName val="Lin_Equip"/>
      <sheetName val="Shock_Equip"/>
      <sheetName val="Data"/>
      <sheetName val="Data2"/>
    </sheetNames>
    <sheetDataSet>
      <sheetData sheetId="0"/>
      <sheetData sheetId="1"/>
      <sheetData sheetId="2"/>
      <sheetData sheetId="3"/>
      <sheetData sheetId="4"/>
      <sheetData sheetId="5"/>
      <sheetData sheetId="6"/>
      <sheetData sheetId="7"/>
      <sheetData sheetId="8"/>
      <sheetData sheetId="9"/>
      <sheetData sheetId="10">
        <row r="1">
          <cell r="C1">
            <v>2</v>
          </cell>
          <cell r="E1">
            <v>2</v>
          </cell>
        </row>
        <row r="2">
          <cell r="B2" t="str">
            <v>~Calibration Certificate~</v>
          </cell>
        </row>
        <row r="3">
          <cell r="A3" t="str">
            <v>PCB</v>
          </cell>
        </row>
        <row r="4">
          <cell r="A4" t="str">
            <v>352A78</v>
          </cell>
        </row>
        <row r="5">
          <cell r="A5">
            <v>36134</v>
          </cell>
        </row>
        <row r="7">
          <cell r="A7" t="str">
            <v>ICP® Accelerometer</v>
          </cell>
        </row>
        <row r="16">
          <cell r="A16">
            <v>50000</v>
          </cell>
          <cell r="B16" t="str">
            <v>Hz</v>
          </cell>
        </row>
        <row r="18">
          <cell r="B18" t="str">
            <v>Chip Baxter</v>
          </cell>
        </row>
        <row r="22">
          <cell r="A22">
            <v>40140</v>
          </cell>
          <cell r="B22">
            <v>40505</v>
          </cell>
        </row>
        <row r="24">
          <cell r="B24" t="str">
            <v>Uni-Axial</v>
          </cell>
        </row>
        <row r="28">
          <cell r="C28" t="str">
            <v>In Tolerance</v>
          </cell>
        </row>
        <row r="29">
          <cell r="C29" t="str">
            <v>In Tolerance</v>
          </cell>
        </row>
        <row r="30">
          <cell r="A30">
            <v>23.33333</v>
          </cell>
          <cell r="B30" t="str">
            <v>°C</v>
          </cell>
          <cell r="C30">
            <v>74</v>
          </cell>
          <cell r="D30" t="str">
            <v>°F</v>
          </cell>
        </row>
        <row r="31">
          <cell r="A31">
            <v>0</v>
          </cell>
          <cell r="B31" t="str">
            <v>%</v>
          </cell>
        </row>
        <row r="33">
          <cell r="A33">
            <v>50</v>
          </cell>
          <cell r="B33" t="str">
            <v>g</v>
          </cell>
        </row>
        <row r="34">
          <cell r="A34">
            <v>1.0000359999999999E-3</v>
          </cell>
          <cell r="B34" t="str">
            <v>g</v>
          </cell>
        </row>
        <row r="35">
          <cell r="A35">
            <v>-53.888890000000004</v>
          </cell>
          <cell r="B35">
            <v>93.333330000000004</v>
          </cell>
        </row>
        <row r="36">
          <cell r="A36">
            <v>-65</v>
          </cell>
          <cell r="B36">
            <v>200</v>
          </cell>
        </row>
        <row r="39">
          <cell r="A39">
            <v>5</v>
          </cell>
        </row>
        <row r="40">
          <cell r="B40" t="str">
            <v>Calibration traceable to primary method which has been proficiency validated through interlaboratory comparison to NIST (project number 822/271196).</v>
          </cell>
        </row>
        <row r="42">
          <cell r="B42" t="str">
            <v>This certificate may not be reproduced except in full, without written permision.</v>
          </cell>
        </row>
        <row r="44">
          <cell r="B44" t="str">
            <v>This calibration was performed with TMS 9155 Calibration Workstation version 4.12.02</v>
          </cell>
        </row>
        <row r="45">
          <cell r="A45">
            <v>101.68040000000001</v>
          </cell>
          <cell r="B45" t="str">
            <v>mV/g</v>
          </cell>
        </row>
        <row r="46">
          <cell r="A46">
            <v>1.5416579999999999E-2</v>
          </cell>
          <cell r="B46" t="str">
            <v>%</v>
          </cell>
        </row>
        <row r="47">
          <cell r="A47">
            <v>100</v>
          </cell>
          <cell r="B47" t="str">
            <v>Hz</v>
          </cell>
        </row>
        <row r="48">
          <cell r="A48" t="str">
            <v>g</v>
          </cell>
        </row>
      </sheetData>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RData"/>
      <sheetName val="LINData"/>
      <sheetName val="Route Creator"/>
      <sheetName val="Vib Analyzer Data"/>
      <sheetName val="FRCert"/>
      <sheetName val="LINCert"/>
      <sheetName val="SLINCert"/>
      <sheetName val="FRRaw"/>
      <sheetName val="LINRaw"/>
      <sheetName val="Vib Analyzer Cert"/>
      <sheetName val="VersionInfo"/>
      <sheetName val="RouteRaw"/>
      <sheetName val="Linfit Worksheet"/>
    </sheetNames>
    <sheetDataSet>
      <sheetData sheetId="0">
        <row r="13">
          <cell r="A13" t="str">
            <v/>
          </cell>
          <cell r="D13" t="str">
            <v/>
          </cell>
        </row>
        <row r="14">
          <cell r="A14" t="str">
            <v/>
          </cell>
          <cell r="D14" t="str">
            <v/>
          </cell>
        </row>
        <row r="15">
          <cell r="A15" t="str">
            <v/>
          </cell>
          <cell r="D15" t="str">
            <v/>
          </cell>
        </row>
        <row r="16">
          <cell r="A16" t="str">
            <v/>
          </cell>
          <cell r="D16" t="str">
            <v/>
          </cell>
        </row>
        <row r="17">
          <cell r="A17" t="str">
            <v/>
          </cell>
          <cell r="D17" t="str">
            <v/>
          </cell>
        </row>
        <row r="18">
          <cell r="A18" t="str">
            <v/>
          </cell>
          <cell r="D18" t="str">
            <v/>
          </cell>
        </row>
        <row r="19">
          <cell r="A19" t="str">
            <v/>
          </cell>
          <cell r="D19" t="str">
            <v/>
          </cell>
        </row>
        <row r="20">
          <cell r="A20" t="str">
            <v/>
          </cell>
          <cell r="D20" t="str">
            <v/>
          </cell>
        </row>
        <row r="21">
          <cell r="A21" t="str">
            <v/>
          </cell>
          <cell r="D21" t="str">
            <v/>
          </cell>
        </row>
        <row r="22">
          <cell r="A22" t="str">
            <v/>
          </cell>
          <cell r="D22" t="str">
            <v/>
          </cell>
        </row>
        <row r="23">
          <cell r="A23" t="str">
            <v/>
          </cell>
          <cell r="D23" t="str">
            <v/>
          </cell>
        </row>
        <row r="24">
          <cell r="A24" t="str">
            <v/>
          </cell>
          <cell r="D24" t="str">
            <v/>
          </cell>
        </row>
        <row r="25">
          <cell r="A25" t="str">
            <v/>
          </cell>
          <cell r="D25" t="str">
            <v/>
          </cell>
        </row>
        <row r="26">
          <cell r="A26" t="str">
            <v/>
          </cell>
          <cell r="D26" t="str">
            <v/>
          </cell>
        </row>
        <row r="27">
          <cell r="A27" t="str">
            <v/>
          </cell>
          <cell r="D27" t="str">
            <v/>
          </cell>
        </row>
        <row r="28">
          <cell r="A28" t="str">
            <v/>
          </cell>
          <cell r="D28" t="str">
            <v/>
          </cell>
        </row>
        <row r="29">
          <cell r="A29" t="str">
            <v/>
          </cell>
          <cell r="D29" t="str">
            <v/>
          </cell>
        </row>
        <row r="30">
          <cell r="A30" t="str">
            <v/>
          </cell>
          <cell r="D30" t="str">
            <v/>
          </cell>
        </row>
      </sheetData>
      <sheetData sheetId="1"/>
      <sheetData sheetId="2"/>
      <sheetData sheetId="3"/>
      <sheetData sheetId="4">
        <row r="27">
          <cell r="B27" t="str">
            <v>Frequency ()</v>
          </cell>
        </row>
      </sheetData>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omments" Target="../comments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3" Type="http://schemas.openxmlformats.org/officeDocument/2006/relationships/vmlDrawing" Target="../drawings/vmlDrawing4.vml"/><Relationship Id="rId7" Type="http://schemas.openxmlformats.org/officeDocument/2006/relationships/ctrlProp" Target="../ctrlProps/ctrlProp17.xml"/><Relationship Id="rId12" Type="http://schemas.openxmlformats.org/officeDocument/2006/relationships/ctrlProp" Target="../ctrlProps/ctrlProp22.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6.xml"/><Relationship Id="rId11" Type="http://schemas.openxmlformats.org/officeDocument/2006/relationships/ctrlProp" Target="../ctrlProps/ctrlProp21.xml"/><Relationship Id="rId5" Type="http://schemas.openxmlformats.org/officeDocument/2006/relationships/ctrlProp" Target="../ctrlProps/ctrlProp15.xml"/><Relationship Id="rId10" Type="http://schemas.openxmlformats.org/officeDocument/2006/relationships/ctrlProp" Target="../ctrlProps/ctrlProp20.xml"/><Relationship Id="rId4" Type="http://schemas.openxmlformats.org/officeDocument/2006/relationships/ctrlProp" Target="../ctrlProps/ctrlProp14.xml"/><Relationship Id="rId9" Type="http://schemas.openxmlformats.org/officeDocument/2006/relationships/ctrlProp" Target="../ctrlProps/ctrlProp19.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O45"/>
  <sheetViews>
    <sheetView tabSelected="1" zoomScaleNormal="100" workbookViewId="0">
      <selection activeCell="B8" sqref="B8"/>
    </sheetView>
  </sheetViews>
  <sheetFormatPr defaultColWidth="0" defaultRowHeight="13.2" zeroHeight="1" x14ac:dyDescent="0.25"/>
  <cols>
    <col min="1" max="1" width="29.6640625" style="75" customWidth="1"/>
    <col min="2" max="2" width="24.6640625" style="75" customWidth="1"/>
    <col min="3" max="3" width="30.44140625" style="75" customWidth="1"/>
    <col min="4" max="4" width="24.6640625" style="67" customWidth="1"/>
    <col min="5" max="5" width="27" style="67" customWidth="1"/>
    <col min="6" max="7" width="24.6640625" style="67" hidden="1" customWidth="1"/>
    <col min="8" max="15" width="24.6640625" style="65" hidden="1" customWidth="1"/>
    <col min="16" max="16384" width="0" style="65" hidden="1"/>
  </cols>
  <sheetData>
    <row r="1" spans="1:9" ht="18" customHeight="1" x14ac:dyDescent="0.3">
      <c r="A1" s="64"/>
      <c r="B1" s="65"/>
      <c r="C1" s="64"/>
      <c r="D1" s="64"/>
      <c r="E1" s="168" t="s">
        <v>283</v>
      </c>
      <c r="F1" s="64"/>
      <c r="G1" s="383"/>
      <c r="H1" s="383"/>
      <c r="I1" s="64"/>
    </row>
    <row r="2" spans="1:9" ht="18" customHeight="1" x14ac:dyDescent="0.4">
      <c r="A2" s="66"/>
      <c r="B2" s="64"/>
      <c r="C2" s="65"/>
      <c r="D2" s="65"/>
      <c r="E2" s="168" t="s">
        <v>282</v>
      </c>
      <c r="F2" s="64"/>
      <c r="G2" s="382"/>
      <c r="H2" s="382"/>
      <c r="I2" s="64"/>
    </row>
    <row r="3" spans="1:9" ht="18" customHeight="1" x14ac:dyDescent="0.3">
      <c r="A3" s="66"/>
      <c r="B3" s="64"/>
      <c r="C3" s="292" t="s">
        <v>168</v>
      </c>
      <c r="E3" s="169"/>
      <c r="F3" s="64"/>
      <c r="G3" s="64"/>
      <c r="H3" s="64"/>
      <c r="I3" s="64"/>
    </row>
    <row r="4" spans="1:9" ht="18" customHeight="1" x14ac:dyDescent="0.4">
      <c r="A4" s="68"/>
      <c r="B4" s="69"/>
      <c r="C4" s="70" t="s">
        <v>169</v>
      </c>
      <c r="D4" s="165"/>
      <c r="E4" s="165"/>
      <c r="F4" s="92"/>
      <c r="G4" s="65"/>
      <c r="H4" s="67"/>
      <c r="I4" s="64"/>
    </row>
    <row r="5" spans="1:9" ht="18" customHeight="1" x14ac:dyDescent="0.4">
      <c r="A5" s="68"/>
      <c r="B5" s="69"/>
      <c r="C5" s="70" t="str">
        <f>'Linfit Worksheet'!L29</f>
        <v>Version: 3.2.4</v>
      </c>
      <c r="D5" s="164"/>
      <c r="E5" s="170"/>
      <c r="F5" s="65"/>
      <c r="G5" s="65"/>
      <c r="H5" s="67"/>
      <c r="I5" s="64"/>
    </row>
    <row r="6" spans="1:9" ht="18" customHeight="1" x14ac:dyDescent="0.4">
      <c r="A6" s="68"/>
      <c r="B6" s="69"/>
      <c r="C6" s="65"/>
      <c r="D6" s="164"/>
      <c r="E6" s="165"/>
      <c r="F6" s="65"/>
      <c r="G6" s="65"/>
      <c r="H6" s="67"/>
      <c r="I6" s="64"/>
    </row>
    <row r="7" spans="1:9" ht="18" customHeight="1" x14ac:dyDescent="0.4">
      <c r="A7" s="68"/>
      <c r="B7" s="69"/>
      <c r="C7" s="79"/>
      <c r="D7" s="65"/>
      <c r="E7" s="165"/>
      <c r="F7" s="65"/>
      <c r="G7" s="65"/>
      <c r="H7" s="67"/>
      <c r="I7" s="64"/>
    </row>
    <row r="8" spans="1:9" ht="18" customHeight="1" x14ac:dyDescent="0.3">
      <c r="A8" s="166" t="s">
        <v>166</v>
      </c>
      <c r="B8" s="293">
        <v>100</v>
      </c>
      <c r="C8" s="166"/>
      <c r="D8" s="179"/>
      <c r="E8" s="171"/>
      <c r="F8" s="114"/>
      <c r="G8" s="86"/>
      <c r="H8" s="67"/>
      <c r="I8" s="64"/>
    </row>
    <row r="9" spans="1:9" ht="18" customHeight="1" x14ac:dyDescent="0.3">
      <c r="A9" s="78"/>
      <c r="B9" s="167" t="str">
        <f>IF($A$12="","",$A$12)</f>
        <v/>
      </c>
      <c r="C9" s="113"/>
      <c r="D9" s="167" t="str">
        <f>IF($D$8="","","mV/pC")</f>
        <v/>
      </c>
      <c r="E9" s="172"/>
      <c r="F9" s="114"/>
      <c r="G9" s="86"/>
      <c r="H9" s="67"/>
      <c r="I9" s="64"/>
    </row>
    <row r="10" spans="1:9" ht="18" customHeight="1" x14ac:dyDescent="0.3">
      <c r="A10" s="381" t="s">
        <v>167</v>
      </c>
      <c r="B10" s="381"/>
      <c r="C10" s="381"/>
      <c r="D10" s="381"/>
      <c r="E10" s="173"/>
      <c r="F10" s="114"/>
      <c r="G10" s="86"/>
      <c r="H10" s="67"/>
      <c r="I10" s="64"/>
    </row>
    <row r="11" spans="1:9" ht="18" customHeight="1" x14ac:dyDescent="0.3">
      <c r="A11" s="294" t="s">
        <v>162</v>
      </c>
      <c r="B11" s="294" t="s">
        <v>163</v>
      </c>
      <c r="C11" s="295" t="s">
        <v>164</v>
      </c>
      <c r="D11" s="295" t="s">
        <v>165</v>
      </c>
      <c r="E11" s="174"/>
      <c r="F11" s="71"/>
      <c r="G11" s="115"/>
      <c r="H11" s="379"/>
      <c r="I11" s="380"/>
    </row>
    <row r="12" spans="1:9" ht="18" customHeight="1" x14ac:dyDescent="0.25">
      <c r="A12" s="294" t="str">
        <f>IF(FRRaw!C13&lt;&gt;"",FRRaw!C13,"")</f>
        <v/>
      </c>
      <c r="B12" s="294" t="str">
        <f>IF(FRRaw!G13&lt;&gt;"",FRRaw!G13,"")</f>
        <v/>
      </c>
      <c r="C12" s="295">
        <f>IF(AND(FRRaw!I12, FRRaw!E13 = "mV/g"),"pC/g",FRRaw!E13)</f>
        <v>0</v>
      </c>
      <c r="D12" s="295" t="s">
        <v>10</v>
      </c>
      <c r="E12" s="175"/>
      <c r="F12" s="71"/>
      <c r="G12" s="115"/>
    </row>
    <row r="13" spans="1:9" ht="18" customHeight="1" x14ac:dyDescent="0.25">
      <c r="A13" s="110" t="str">
        <f xml:space="preserve"> IF(FRRaw!B13&gt;0,FRRaw!B13,"")</f>
        <v/>
      </c>
      <c r="B13" s="110" t="str">
        <f>IF(FRRaw!B13&gt;0,FIXED(FRRaw!F13,2),"")</f>
        <v/>
      </c>
      <c r="C13" s="31" t="str">
        <f>IF((AND(FRRaw!$I$12, FRRaw!$E$13 = "mV/g")), IF(FRRaw!B13,( IF(FRRaw!B13,FRRaw!D13,"")/FRData!$D$8), ""), IF(FRRaw!B13,FRRaw!D13,""))</f>
        <v/>
      </c>
      <c r="D13" s="106" t="str">
        <f>IF(A13="","",100*(C13/VLOOKUP($B$8,FRData!$A$13:$C$42,3,0.01)-1))</f>
        <v/>
      </c>
      <c r="E13" s="176"/>
      <c r="F13" s="72"/>
      <c r="G13" s="73"/>
      <c r="I13" s="116"/>
    </row>
    <row r="14" spans="1:9" ht="18" customHeight="1" x14ac:dyDescent="0.25">
      <c r="A14" s="110" t="str">
        <f xml:space="preserve"> IF(FRRaw!B14&gt;0,FRRaw!B14,"")</f>
        <v/>
      </c>
      <c r="B14" s="110" t="str">
        <f>IF(FRRaw!B14&gt;0,FIXED(FRRaw!F14,2),"")</f>
        <v/>
      </c>
      <c r="C14" s="31" t="str">
        <f>IF((AND(FRRaw!$I$12, FRRaw!$E$13 = "mV/g")), IF(FRRaw!B14,( IF(FRRaw!B14,FRRaw!D14,"")/FRData!$D$8), ""), IF(FRRaw!B14,FRRaw!D14,""))</f>
        <v/>
      </c>
      <c r="D14" s="106" t="str">
        <f>IF(A14="","",100*(C14/VLOOKUP($B$8,FRData!$A$13:$C$42,3,0.01)-1))</f>
        <v/>
      </c>
      <c r="E14" s="176"/>
      <c r="F14" s="72"/>
      <c r="G14" s="73"/>
    </row>
    <row r="15" spans="1:9" ht="18" customHeight="1" x14ac:dyDescent="0.25">
      <c r="A15" s="110" t="str">
        <f xml:space="preserve"> IF(FRRaw!B15&gt;0,FRRaw!B15,"")</f>
        <v/>
      </c>
      <c r="B15" s="110" t="str">
        <f>IF(FRRaw!B15&gt;0,FIXED(FRRaw!F15,2),"")</f>
        <v/>
      </c>
      <c r="C15" s="31" t="str">
        <f>IF((AND(FRRaw!$I$12, FRRaw!$E$13 = "mV/g")), IF(FRRaw!B15,( IF(FRRaw!B15,FRRaw!D15,"")/FRData!$D$8), ""), IF(FRRaw!B15,FRRaw!D15,""))</f>
        <v/>
      </c>
      <c r="D15" s="106" t="str">
        <f>IF(A15="","",100*(C15/VLOOKUP($B$8,FRData!$A$13:$C$42,3,0.01)-1))</f>
        <v/>
      </c>
      <c r="E15" s="176"/>
      <c r="F15" s="72"/>
      <c r="G15" s="73"/>
    </row>
    <row r="16" spans="1:9" ht="18" customHeight="1" x14ac:dyDescent="0.25">
      <c r="A16" s="110" t="str">
        <f xml:space="preserve"> IF(FRRaw!B16&gt;0,FRRaw!B16,"")</f>
        <v/>
      </c>
      <c r="B16" s="110" t="str">
        <f>IF(FRRaw!B16&gt;0,FIXED(FRRaw!F16,2),"")</f>
        <v/>
      </c>
      <c r="C16" s="31" t="str">
        <f>IF((AND(FRRaw!$I$12, FRRaw!$E$13 = "mV/g")), IF(FRRaw!B16,( IF(FRRaw!B16,FRRaw!D16,"")/FRData!$D$8), ""), IF(FRRaw!B16,FRRaw!D16,""))</f>
        <v/>
      </c>
      <c r="D16" s="106" t="str">
        <f>IF(A16="","",100*(C16/VLOOKUP($B$8,FRData!$A$13:$C$42,3,0.01)-1))</f>
        <v/>
      </c>
      <c r="E16" s="176"/>
      <c r="F16" s="72"/>
      <c r="G16" s="73"/>
    </row>
    <row r="17" spans="1:7" ht="18" customHeight="1" x14ac:dyDescent="0.25">
      <c r="A17" s="110" t="str">
        <f xml:space="preserve"> IF(FRRaw!B17&gt;0,FRRaw!B17,"")</f>
        <v/>
      </c>
      <c r="B17" s="110" t="str">
        <f>IF(FRRaw!B17&gt;0,FIXED(FRRaw!F17,2),"")</f>
        <v/>
      </c>
      <c r="C17" s="31" t="str">
        <f>IF((AND(FRRaw!$I$12, FRRaw!$E$13 = "mV/g")), IF(FRRaw!B17,( IF(FRRaw!B17,FRRaw!D17,"")/FRData!$D$8), ""), IF(FRRaw!B17,FRRaw!D17,""))</f>
        <v/>
      </c>
      <c r="D17" s="106" t="str">
        <f>IF(A17="","",100*(C17/VLOOKUP($B$8,FRData!$A$13:$C$42,3,0.01)-1))</f>
        <v/>
      </c>
      <c r="E17" s="176"/>
      <c r="F17" s="72"/>
      <c r="G17" s="73"/>
    </row>
    <row r="18" spans="1:7" ht="18" customHeight="1" x14ac:dyDescent="0.25">
      <c r="A18" s="110" t="str">
        <f xml:space="preserve"> IF(FRRaw!B18&gt;0,FRRaw!B18,"")</f>
        <v/>
      </c>
      <c r="B18" s="110" t="str">
        <f>IF(FRRaw!B18&gt;0,FIXED(FRRaw!F18,2),"")</f>
        <v/>
      </c>
      <c r="C18" s="31" t="str">
        <f>IF((AND(FRRaw!$I$12, FRRaw!$E$13 = "mV/g")), IF(FRRaw!B18,( IF(FRRaw!B18,FRRaw!D18,"")/FRData!$D$8), ""), IF(FRRaw!B18,FRRaw!D18,""))</f>
        <v/>
      </c>
      <c r="D18" s="106" t="str">
        <f>IF(A18="","",100*(C18/VLOOKUP($B$8,FRData!$A$13:$C$42,3,0.01)-1))</f>
        <v/>
      </c>
      <c r="E18" s="176"/>
      <c r="F18" s="72"/>
      <c r="G18" s="73"/>
    </row>
    <row r="19" spans="1:7" ht="18" customHeight="1" x14ac:dyDescent="0.25">
      <c r="A19" s="110" t="str">
        <f xml:space="preserve"> IF(FRRaw!B19&gt;0,FRRaw!B19,"")</f>
        <v/>
      </c>
      <c r="B19" s="110" t="str">
        <f>IF(FRRaw!B19&gt;0,FIXED(FRRaw!F19,2),"")</f>
        <v/>
      </c>
      <c r="C19" s="31" t="str">
        <f>IF((AND(FRRaw!$I$12, FRRaw!$E$13 = "mV/g")), IF(FRRaw!B19,( IF(FRRaw!B19,FRRaw!D19,"")/FRData!$D$8), ""), IF(FRRaw!B19,FRRaw!D19,""))</f>
        <v/>
      </c>
      <c r="D19" s="106" t="str">
        <f>IF(A19="","",100*(C19/VLOOKUP($B$8,FRData!$A$13:$C$42,3,0.01)-1))</f>
        <v/>
      </c>
      <c r="E19" s="176"/>
      <c r="F19" s="72"/>
      <c r="G19" s="73"/>
    </row>
    <row r="20" spans="1:7" ht="18" customHeight="1" x14ac:dyDescent="0.25">
      <c r="A20" s="110" t="str">
        <f xml:space="preserve"> IF(FRRaw!B20&gt;0,FRRaw!B20,"")</f>
        <v/>
      </c>
      <c r="B20" s="110" t="str">
        <f>IF(FRRaw!B20&gt;0,FIXED(FRRaw!F20,2),"")</f>
        <v/>
      </c>
      <c r="C20" s="31" t="str">
        <f>IF((AND(FRRaw!$I$12, FRRaw!$E$13 = "mV/g")), IF(FRRaw!B20,( IF(FRRaw!B20,FRRaw!D20,"")/FRData!$D$8), ""), IF(FRRaw!B20,FRRaw!D20,""))</f>
        <v/>
      </c>
      <c r="D20" s="106" t="str">
        <f>IF(A20="","",100*(C20/VLOOKUP($B$8,FRData!$A$13:$C$42,3,0.01)-1))</f>
        <v/>
      </c>
      <c r="E20" s="176"/>
      <c r="F20" s="72"/>
      <c r="G20" s="73"/>
    </row>
    <row r="21" spans="1:7" ht="18" customHeight="1" x14ac:dyDescent="0.25">
      <c r="A21" s="110" t="str">
        <f xml:space="preserve"> IF(FRRaw!B21&gt;0,FRRaw!B21,"")</f>
        <v/>
      </c>
      <c r="B21" s="110" t="str">
        <f>IF(FRRaw!B21&gt;0,FIXED(FRRaw!F21,2),"")</f>
        <v/>
      </c>
      <c r="C21" s="31" t="str">
        <f>IF((AND(FRRaw!$I$12, FRRaw!$E$13 = "mV/g")), IF(FRRaw!B21,( IF(FRRaw!B21,FRRaw!D21,"")/FRData!$D$8), ""), IF(FRRaw!B21,FRRaw!D21,""))</f>
        <v/>
      </c>
      <c r="D21" s="106" t="str">
        <f>IF(A21="","",100*(C21/VLOOKUP($B$8,FRData!$A$13:$C$42,3,0.01)-1))</f>
        <v/>
      </c>
      <c r="E21" s="176"/>
      <c r="F21" s="72"/>
      <c r="G21" s="73"/>
    </row>
    <row r="22" spans="1:7" ht="18" customHeight="1" x14ac:dyDescent="0.25">
      <c r="A22" s="110" t="str">
        <f xml:space="preserve"> IF(FRRaw!B22&gt;0,FRRaw!B22,"")</f>
        <v/>
      </c>
      <c r="B22" s="110" t="str">
        <f>IF(FRRaw!B22&gt;0,FIXED(FRRaw!F22,2),"")</f>
        <v/>
      </c>
      <c r="C22" s="31" t="str">
        <f>IF((AND(FRRaw!$I$12, FRRaw!$E$13 = "mV/g")), IF(FRRaw!B22,( IF(FRRaw!B22,FRRaw!D22,"")/FRData!$D$8), ""), IF(FRRaw!B22,FRRaw!D22,""))</f>
        <v/>
      </c>
      <c r="D22" s="106" t="str">
        <f>IF(A22="","",100*(C22/VLOOKUP($B$8,FRData!$A$13:$C$42,3,0.01)-1))</f>
        <v/>
      </c>
      <c r="E22" s="176"/>
      <c r="F22" s="72"/>
      <c r="G22" s="73"/>
    </row>
    <row r="23" spans="1:7" ht="18" customHeight="1" x14ac:dyDescent="0.25">
      <c r="A23" s="110" t="str">
        <f xml:space="preserve"> IF(FRRaw!B23&gt;0,FRRaw!B23,"")</f>
        <v/>
      </c>
      <c r="B23" s="110" t="str">
        <f>IF(FRRaw!B23&gt;0,FIXED(FRRaw!F23,2),"")</f>
        <v/>
      </c>
      <c r="C23" s="31" t="str">
        <f>IF((AND(FRRaw!$I$12, FRRaw!$E$13 = "mV/g")), IF(FRRaw!B23,( IF(FRRaw!B23,FRRaw!D23,"")/FRData!$D$8), ""), IF(FRRaw!B23,FRRaw!D23,""))</f>
        <v/>
      </c>
      <c r="D23" s="106" t="str">
        <f>IF(A23="","",100*(C23/VLOOKUP($B$8,FRData!$A$13:$C$42,3,0.01)-1))</f>
        <v/>
      </c>
      <c r="E23" s="176"/>
      <c r="F23" s="72"/>
      <c r="G23" s="73"/>
    </row>
    <row r="24" spans="1:7" ht="18" customHeight="1" x14ac:dyDescent="0.25">
      <c r="A24" s="110" t="str">
        <f xml:space="preserve"> IF(FRRaw!B24&gt;0,FRRaw!B24,"")</f>
        <v/>
      </c>
      <c r="B24" s="110" t="str">
        <f>IF(FRRaw!B24&gt;0,FIXED(FRRaw!F24,2),"")</f>
        <v/>
      </c>
      <c r="C24" s="31" t="str">
        <f>IF((AND(FRRaw!$I$12, FRRaw!$E$13 = "mV/g")), IF(FRRaw!B24,( IF(FRRaw!B24,FRRaw!D24,"")/FRData!$D$8), ""), IF(FRRaw!B24,FRRaw!D24,""))</f>
        <v/>
      </c>
      <c r="D24" s="106" t="str">
        <f>IF(A24="","",100*(C24/VLOOKUP($B$8,FRData!$A$13:$C$42,3,0.01)-1))</f>
        <v/>
      </c>
      <c r="E24" s="176"/>
      <c r="F24" s="72"/>
      <c r="G24" s="73"/>
    </row>
    <row r="25" spans="1:7" ht="18" customHeight="1" x14ac:dyDescent="0.25">
      <c r="A25" s="110" t="str">
        <f xml:space="preserve"> IF(FRRaw!B25&gt;0,FRRaw!B25,"")</f>
        <v/>
      </c>
      <c r="B25" s="110" t="str">
        <f>IF(FRRaw!B25&gt;0,FIXED(FRRaw!F25,2),"")</f>
        <v/>
      </c>
      <c r="C25" s="31" t="str">
        <f>IF((AND(FRRaw!$I$12, FRRaw!$E$13 = "mV/g")), IF(FRRaw!B25,( IF(FRRaw!B25,FRRaw!D25,"")/FRData!$D$8), ""), IF(FRRaw!B25,FRRaw!D25,""))</f>
        <v/>
      </c>
      <c r="D25" s="106" t="str">
        <f>IF(A25="","",100*(C25/VLOOKUP($B$8,FRData!$A$13:$C$42,3,0.01)-1))</f>
        <v/>
      </c>
      <c r="E25" s="176"/>
      <c r="F25" s="72"/>
      <c r="G25" s="73"/>
    </row>
    <row r="26" spans="1:7" ht="18" customHeight="1" x14ac:dyDescent="0.25">
      <c r="A26" s="110" t="str">
        <f xml:space="preserve"> IF(FRRaw!B26&gt;0,FRRaw!B26,"")</f>
        <v/>
      </c>
      <c r="B26" s="110" t="str">
        <f>IF(FRRaw!B26&gt;0,FIXED(FRRaw!F26,2),"")</f>
        <v/>
      </c>
      <c r="C26" s="31" t="str">
        <f>IF((AND(FRRaw!$I$12, FRRaw!$E$13 = "mV/g")), IF(FRRaw!B26,( IF(FRRaw!B26,FRRaw!D26,"")/FRData!$D$8), ""), IF(FRRaw!B26,FRRaw!D26,""))</f>
        <v/>
      </c>
      <c r="D26" s="106" t="str">
        <f>IF(A26="","",100*(C26/VLOOKUP($B$8,FRData!$A$13:$C$42,3,0.01)-1))</f>
        <v/>
      </c>
      <c r="E26" s="176"/>
      <c r="F26" s="72"/>
      <c r="G26" s="73"/>
    </row>
    <row r="27" spans="1:7" ht="18" customHeight="1" x14ac:dyDescent="0.25">
      <c r="A27" s="110" t="str">
        <f xml:space="preserve"> IF(FRRaw!B27&gt;0,FRRaw!B27,"")</f>
        <v/>
      </c>
      <c r="B27" s="110" t="str">
        <f>IF(FRRaw!B27&gt;0,FIXED(FRRaw!F27,2),"")</f>
        <v/>
      </c>
      <c r="C27" s="31" t="str">
        <f>IF((AND(FRRaw!$I$12, FRRaw!$E$13 = "mV/g")), IF(FRRaw!B27,( IF(FRRaw!B27,FRRaw!D27,"")/FRData!$D$8), ""), IF(FRRaw!B27,FRRaw!D27,""))</f>
        <v/>
      </c>
      <c r="D27" s="106" t="str">
        <f>IF(A27="","",100*(C27/VLOOKUP($B$8,FRData!$A$13:$C$42,3,0.01)-1))</f>
        <v/>
      </c>
      <c r="E27" s="176"/>
      <c r="F27" s="72"/>
      <c r="G27" s="73"/>
    </row>
    <row r="28" spans="1:7" ht="18" customHeight="1" x14ac:dyDescent="0.25">
      <c r="A28" s="110" t="str">
        <f xml:space="preserve"> IF(FRRaw!B28&gt;0,FRRaw!B28,"")</f>
        <v/>
      </c>
      <c r="B28" s="110" t="str">
        <f>IF(FRRaw!B28&gt;0,FIXED(FRRaw!F28,2),"")</f>
        <v/>
      </c>
      <c r="C28" s="31" t="str">
        <f>IF((AND(FRRaw!$I$12, FRRaw!$E$13 = "mV/g")), IF(FRRaw!B28,( IF(FRRaw!B28,FRRaw!D28,"")/FRData!$D$8), ""), IF(FRRaw!B28,FRRaw!D28,""))</f>
        <v/>
      </c>
      <c r="D28" s="106" t="str">
        <f>IF(A28="","",100*(C28/VLOOKUP($B$8,FRData!$A$13:$C$42,3,0.01)-1))</f>
        <v/>
      </c>
      <c r="E28" s="176"/>
      <c r="F28" s="72"/>
      <c r="G28" s="73"/>
    </row>
    <row r="29" spans="1:7" ht="18" customHeight="1" x14ac:dyDescent="0.25">
      <c r="A29" s="110" t="str">
        <f xml:space="preserve"> IF(FRRaw!B29&gt;0,FRRaw!B29,"")</f>
        <v/>
      </c>
      <c r="B29" s="110" t="str">
        <f>IF(FRRaw!B29&gt;0,FIXED(FRRaw!F29,2),"")</f>
        <v/>
      </c>
      <c r="C29" s="31" t="str">
        <f>IF((AND(FRRaw!$I$12, FRRaw!$E$13 = "mV/g")), IF(FRRaw!B29,( IF(FRRaw!B29,FRRaw!D29,"")/FRData!$D$8), ""), IF(FRRaw!B29,FRRaw!D29,""))</f>
        <v/>
      </c>
      <c r="D29" s="106" t="str">
        <f>IF(A29="","",100*(C29/VLOOKUP($B$8,FRData!$A$13:$C$42,3,0.01)-1))</f>
        <v/>
      </c>
      <c r="E29" s="176"/>
      <c r="F29" s="72"/>
      <c r="G29" s="73"/>
    </row>
    <row r="30" spans="1:7" ht="18" customHeight="1" x14ac:dyDescent="0.25">
      <c r="A30" s="110" t="str">
        <f xml:space="preserve"> IF(FRRaw!B30&gt;0,FRRaw!B30,"")</f>
        <v/>
      </c>
      <c r="B30" s="110" t="str">
        <f>IF(FRRaw!B30&gt;0,FIXED(FRRaw!F30,2),"")</f>
        <v/>
      </c>
      <c r="C30" s="31" t="str">
        <f>IF((AND(FRRaw!$I$12, FRRaw!$E$13 = "mV/g")), IF(FRRaw!B30,( IF(FRRaw!B30,FRRaw!D30,"")/FRData!$D$8), ""), IF(FRRaw!B30,FRRaw!D30,""))</f>
        <v/>
      </c>
      <c r="D30" s="106" t="str">
        <f>IF(A30="","",100*(C30/VLOOKUP($B$8,FRData!$A$13:$C$42,3,0.01)-1))</f>
        <v/>
      </c>
      <c r="E30" s="176"/>
      <c r="F30" s="72"/>
      <c r="G30" s="73"/>
    </row>
    <row r="31" spans="1:7" ht="18" customHeight="1" x14ac:dyDescent="0.25">
      <c r="A31" s="110" t="str">
        <f xml:space="preserve"> IF(FRRaw!B31&gt;0,FRRaw!B31,"")</f>
        <v/>
      </c>
      <c r="B31" s="110" t="str">
        <f>IF(FRRaw!B31&gt;0,FIXED(FRRaw!F31,2),"")</f>
        <v/>
      </c>
      <c r="C31" s="31" t="str">
        <f>IF((AND(FRRaw!$I$12, FRRaw!$E$13 = "mV/g")), IF(FRRaw!B31,( IF(FRRaw!B31,FRRaw!D31,"")/FRData!$D$8), ""), IF(FRRaw!B31,FRRaw!D31,""))</f>
        <v/>
      </c>
      <c r="D31" s="106" t="str">
        <f>IF(A31="","",100*(C31/VLOOKUP($B$8,FRData!$A$13:$C$42,3,0.01)-1))</f>
        <v/>
      </c>
      <c r="E31" s="176"/>
      <c r="F31" s="72"/>
      <c r="G31" s="73"/>
    </row>
    <row r="32" spans="1:7" ht="18" customHeight="1" x14ac:dyDescent="0.25">
      <c r="A32" s="110" t="str">
        <f xml:space="preserve"> IF(FRRaw!B32&gt;0,FRRaw!B32,"")</f>
        <v/>
      </c>
      <c r="B32" s="110" t="str">
        <f>IF(FRRaw!B32&gt;0,FIXED(FRRaw!F32,2),"")</f>
        <v/>
      </c>
      <c r="C32" s="31" t="str">
        <f>IF((AND(FRRaw!$I$12, FRRaw!$E$13 = "mV/g")), IF(FRRaw!B32,( IF(FRRaw!B32,FRRaw!D32,"")/FRData!$D$8), ""), IF(FRRaw!B32,FRRaw!D32,""))</f>
        <v/>
      </c>
      <c r="D32" s="106" t="str">
        <f>IF(A32="","",100*(C32/VLOOKUP($B$8,FRData!$A$13:$C$42,3,0.01)-1))</f>
        <v/>
      </c>
      <c r="E32" s="176"/>
      <c r="F32" s="72"/>
      <c r="G32" s="73"/>
    </row>
    <row r="33" spans="1:8" ht="18" customHeight="1" x14ac:dyDescent="0.25">
      <c r="A33" s="110" t="str">
        <f xml:space="preserve"> IF(FRRaw!B33&gt;0,FRRaw!B33,"")</f>
        <v/>
      </c>
      <c r="B33" s="110" t="str">
        <f>IF(FRRaw!B33&gt;0,FIXED(FRRaw!F33,2),"")</f>
        <v/>
      </c>
      <c r="C33" s="31" t="str">
        <f>IF((AND(FRRaw!$I$12, FRRaw!$E$13 = "mV/g")), IF(FRRaw!B33,( IF(FRRaw!B33,FRRaw!D33,"")/FRData!$D$8), ""), IF(FRRaw!B33,FRRaw!D33,""))</f>
        <v/>
      </c>
      <c r="D33" s="106" t="str">
        <f>IF(A33="","",100*(C33/VLOOKUP($B$8,FRData!$A$13:$C$42,3,0.01)-1))</f>
        <v/>
      </c>
      <c r="E33" s="177"/>
      <c r="F33" s="74"/>
      <c r="G33" s="74"/>
      <c r="H33" s="74"/>
    </row>
    <row r="34" spans="1:8" ht="18" customHeight="1" x14ac:dyDescent="0.25">
      <c r="A34" s="110" t="str">
        <f xml:space="preserve"> IF(FRRaw!B34&gt;0,FRRaw!B34,"")</f>
        <v/>
      </c>
      <c r="B34" s="110" t="str">
        <f>IF(FRRaw!B34&gt;0,FIXED(FRRaw!F34,2),"")</f>
        <v/>
      </c>
      <c r="C34" s="31" t="str">
        <f>IF((AND(FRRaw!$I$12, FRRaw!$E$13 = "mV/g")), IF(FRRaw!B34,( IF(FRRaw!B34,FRRaw!D34,"")/FRData!$D$8), ""), IF(FRRaw!B34,FRRaw!D34,""))</f>
        <v/>
      </c>
      <c r="D34" s="106" t="str">
        <f>IF(A34="","",100*(C34/VLOOKUP($B$8,FRData!$A$13:$C$42,3,0.01)-1))</f>
        <v/>
      </c>
      <c r="E34" s="177"/>
      <c r="F34" s="74"/>
      <c r="G34" s="74"/>
    </row>
    <row r="35" spans="1:8" ht="18" customHeight="1" x14ac:dyDescent="0.25">
      <c r="A35" s="110" t="str">
        <f xml:space="preserve"> IF(FRRaw!B35&gt;0,FRRaw!B35,"")</f>
        <v/>
      </c>
      <c r="B35" s="110" t="str">
        <f>IF(FRRaw!B35&gt;0,FIXED(FRRaw!F35,2),"")</f>
        <v/>
      </c>
      <c r="C35" s="31" t="str">
        <f>IF((AND(FRRaw!$I$12, FRRaw!$E$13 = "mV/g")), IF(FRRaw!B35,( IF(FRRaw!B35,FRRaw!D35,"")/FRData!$D$8), ""), IF(FRRaw!B35,FRRaw!D35,""))</f>
        <v/>
      </c>
      <c r="D35" s="106" t="str">
        <f>IF(A35="","",100*(C35/VLOOKUP($B$8,FRData!$A$13:$C$42,3,0.01)-1))</f>
        <v/>
      </c>
      <c r="E35" s="177"/>
      <c r="F35" s="74"/>
      <c r="G35" s="74"/>
    </row>
    <row r="36" spans="1:8" ht="18" customHeight="1" x14ac:dyDescent="0.25">
      <c r="A36" s="110" t="str">
        <f xml:space="preserve"> IF(FRRaw!B36&gt;0,FRRaw!B36,"")</f>
        <v/>
      </c>
      <c r="B36" s="110" t="str">
        <f>IF(FRRaw!B36&gt;0,FIXED(FRRaw!F36,2),"")</f>
        <v/>
      </c>
      <c r="C36" s="31" t="str">
        <f>IF((AND(FRRaw!$I$12, FRRaw!$E$13 = "mV/g")), IF(FRRaw!B36,( IF(FRRaw!B36,FRRaw!D36,"")/FRData!$D$8), ""), IF(FRRaw!B36,FRRaw!D36,""))</f>
        <v/>
      </c>
      <c r="D36" s="106" t="str">
        <f>IF(A36="","",100*(C36/VLOOKUP($B$8,FRData!$A$13:$C$42,3,0.01)-1))</f>
        <v/>
      </c>
      <c r="E36" s="177"/>
      <c r="F36" s="74"/>
      <c r="G36" s="74"/>
    </row>
    <row r="37" spans="1:8" ht="18" customHeight="1" x14ac:dyDescent="0.25">
      <c r="A37" s="110" t="str">
        <f xml:space="preserve"> IF(FRRaw!B37&gt;0,FRRaw!B37,"")</f>
        <v/>
      </c>
      <c r="B37" s="110" t="str">
        <f>IF(FRRaw!B37&gt;0,FIXED(FRRaw!F37,2),"")</f>
        <v/>
      </c>
      <c r="C37" s="31" t="str">
        <f>IF((AND(FRRaw!$I$12, FRRaw!$E$13 = "mV/g")), IF(FRRaw!B37,( IF(FRRaw!B37,FRRaw!D37,"")/FRData!$D$8), ""), IF(FRRaw!B37,FRRaw!D37,""))</f>
        <v/>
      </c>
      <c r="D37" s="106" t="str">
        <f>IF(A37="","",100*(C37/VLOOKUP($B$8,FRData!$A$13:$C$42,3,0.01)-1))</f>
        <v/>
      </c>
      <c r="E37" s="177"/>
      <c r="F37" s="74"/>
      <c r="G37" s="74"/>
    </row>
    <row r="38" spans="1:8" ht="18" customHeight="1" x14ac:dyDescent="0.25">
      <c r="A38" s="110" t="str">
        <f xml:space="preserve"> IF(FRRaw!B38&gt;0,FRRaw!B38,"")</f>
        <v/>
      </c>
      <c r="B38" s="110" t="str">
        <f>IF(FRRaw!B38&gt;0,FIXED(FRRaw!F38,2),"")</f>
        <v/>
      </c>
      <c r="C38" s="31" t="str">
        <f>IF((AND(FRRaw!$I$12, FRRaw!$E$13 = "mV/g")), IF(FRRaw!B38,( IF(FRRaw!B38,FRRaw!D38,"")/FRData!$D$8), ""), IF(FRRaw!B38,FRRaw!D38,""))</f>
        <v/>
      </c>
      <c r="D38" s="106" t="str">
        <f>IF(A38="","",100*(C38/VLOOKUP($B$8,FRData!$A$13:$C$42,3,0.01)-1))</f>
        <v/>
      </c>
      <c r="E38" s="177"/>
      <c r="F38" s="74"/>
      <c r="G38" s="74"/>
    </row>
    <row r="39" spans="1:8" ht="18" customHeight="1" x14ac:dyDescent="0.25">
      <c r="A39" s="110" t="str">
        <f xml:space="preserve"> IF(FRRaw!B39&gt;0,FRRaw!B39,"")</f>
        <v/>
      </c>
      <c r="B39" s="110" t="str">
        <f>IF(FRRaw!B39&gt;0,FIXED(FRRaw!F39,2),"")</f>
        <v/>
      </c>
      <c r="C39" s="31" t="str">
        <f>IF((AND(FRRaw!$I$12, FRRaw!$E$13 = "mV/g")), IF(FRRaw!B39,( IF(FRRaw!B39,FRRaw!D39,"")/FRData!$D$8), ""), IF(FRRaw!B39,FRRaw!D39,""))</f>
        <v/>
      </c>
      <c r="D39" s="106" t="str">
        <f>IF(A39="","",100*(C39/VLOOKUP($B$8,FRData!$A$13:$C$42,3,0.01)-1))</f>
        <v/>
      </c>
      <c r="E39" s="177"/>
      <c r="F39" s="74"/>
      <c r="G39" s="74"/>
    </row>
    <row r="40" spans="1:8" ht="18" customHeight="1" x14ac:dyDescent="0.25">
      <c r="A40" s="110" t="str">
        <f xml:space="preserve"> IF(FRRaw!B40&gt;0,FRRaw!B40,"")</f>
        <v/>
      </c>
      <c r="B40" s="110" t="str">
        <f>IF(FRRaw!B40&gt;0,FIXED(FRRaw!F40,2),"")</f>
        <v/>
      </c>
      <c r="C40" s="31" t="str">
        <f>IF((AND(FRRaw!$I$12, FRRaw!$E$13 = "mV/g")), IF(FRRaw!B40,( IF(FRRaw!B40,FRRaw!D40,"")/FRData!$D$8), ""), IF(FRRaw!B40,FRRaw!D40,""))</f>
        <v/>
      </c>
      <c r="D40" s="106" t="str">
        <f>IF(A40="","",100*(C40/VLOOKUP($B$8,FRData!$A$13:$C$42,3,0.01)-1))</f>
        <v/>
      </c>
      <c r="E40" s="177"/>
      <c r="F40" s="74"/>
      <c r="G40" s="74"/>
    </row>
    <row r="41" spans="1:8" ht="18" customHeight="1" x14ac:dyDescent="0.25">
      <c r="A41" s="110" t="str">
        <f xml:space="preserve"> IF(FRRaw!B41&gt;0,FRRaw!B41,"")</f>
        <v/>
      </c>
      <c r="B41" s="110" t="str">
        <f>IF(FRRaw!B41&gt;0,FIXED(FRRaw!F41,2),"")</f>
        <v/>
      </c>
      <c r="C41" s="31" t="str">
        <f>IF((AND(FRRaw!$I$12, FRRaw!$E$13 = "mV/g")), IF(FRRaw!B41,( IF(FRRaw!B41,FRRaw!D41,"")/FRData!$D$8), ""), IF(FRRaw!B41,FRRaw!D41,""))</f>
        <v/>
      </c>
      <c r="D41" s="106" t="str">
        <f>IF(A41="","",100*(C41/VLOOKUP($B$8,FRData!$A$13:$C$42,3,0.01)-1))</f>
        <v/>
      </c>
      <c r="E41" s="177"/>
      <c r="F41" s="74"/>
      <c r="G41" s="74"/>
    </row>
    <row r="42" spans="1:8" ht="18" customHeight="1" x14ac:dyDescent="0.25">
      <c r="A42" s="110" t="str">
        <f xml:space="preserve"> IF(FRRaw!B42&gt;0,FRRaw!B42,"")</f>
        <v/>
      </c>
      <c r="B42" s="110" t="str">
        <f>IF(FRRaw!B42&gt;0,FIXED(FRRaw!F42,2),"")</f>
        <v/>
      </c>
      <c r="C42" s="31" t="str">
        <f>IF((AND(FRRaw!$I$12, FRRaw!$E$13 = "mV/g")), IF(FRRaw!B42,( IF(FRRaw!B42,FRRaw!D42,"")/FRData!$D$8), ""), IF(FRRaw!B42,FRRaw!D42,""))</f>
        <v/>
      </c>
      <c r="D42" s="106" t="str">
        <f>IF(A42="","",100*(C42/VLOOKUP($B$8,FRData!$A$13:$C$42,3,0.01)-1))</f>
        <v/>
      </c>
      <c r="E42" s="177"/>
      <c r="F42" s="74"/>
      <c r="G42" s="74"/>
    </row>
    <row r="43" spans="1:8" x14ac:dyDescent="0.25">
      <c r="A43" s="76"/>
      <c r="B43" s="76"/>
      <c r="C43" s="76"/>
      <c r="D43" s="77"/>
      <c r="E43" s="178"/>
      <c r="F43" s="74"/>
      <c r="G43" s="74"/>
    </row>
    <row r="44" spans="1:8" x14ac:dyDescent="0.25">
      <c r="D44" s="74"/>
      <c r="E44" s="178"/>
      <c r="F44" s="74"/>
      <c r="G44" s="74"/>
    </row>
    <row r="45" spans="1:8" ht="12.75" hidden="1" customHeight="1" x14ac:dyDescent="0.25">
      <c r="D45" s="74"/>
      <c r="E45" s="178"/>
      <c r="F45" s="74"/>
      <c r="G45" s="74"/>
    </row>
  </sheetData>
  <sheetProtection algorithmName="SHA-512" hashValue="fo5MAlMp2caDFyjngBPCX+2hp1+K2IU7E2kdXgDQRK2/XGS5jui2+gEb/jQwM03EHt5sgcLpsht05zMjbn0hzw==" saltValue="Ygx9JycAZF9L4JrnZSEP4A==" spinCount="100000" sheet="1" formatCells="0" selectLockedCells="1"/>
  <mergeCells count="4">
    <mergeCell ref="H11:I11"/>
    <mergeCell ref="A10:D10"/>
    <mergeCell ref="G2:H2"/>
    <mergeCell ref="G1:H1"/>
  </mergeCells>
  <phoneticPr fontId="19" type="noConversion"/>
  <conditionalFormatting sqref="B8">
    <cfRule type="expression" dxfId="15" priority="1">
      <formula>IF(B8=VLOOKUP(B8,A13:A42,1),0,1)</formula>
    </cfRule>
  </conditionalFormatting>
  <pageMargins left="0.24" right="0.21" top="0.54" bottom="0.55000000000000004" header="0.5" footer="0.5"/>
  <pageSetup scale="70" orientation="landscape"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96" r:id="rId4" name="ViewCert">
              <controlPr defaultSize="0" print="0" autoFill="0" autoPict="0" macro="[0]!ViewCert_Click">
                <anchor>
                  <from>
                    <xdr:col>0</xdr:col>
                    <xdr:colOff>220980</xdr:colOff>
                    <xdr:row>5</xdr:row>
                    <xdr:rowOff>30480</xdr:rowOff>
                  </from>
                  <to>
                    <xdr:col>1</xdr:col>
                    <xdr:colOff>213360</xdr:colOff>
                    <xdr:row>6</xdr:row>
                    <xdr:rowOff>121920</xdr:rowOff>
                  </to>
                </anchor>
              </controlPr>
            </control>
          </mc:Choice>
        </mc:AlternateContent>
        <mc:AlternateContent xmlns:mc="http://schemas.openxmlformats.org/markup-compatibility/2006">
          <mc:Choice Requires="x14">
            <control shapeId="3103" r:id="rId5" name="Button 31">
              <controlPr defaultSize="0" print="0" autoFill="0" autoPict="0" macro="[0]!ThisWorkbook.Read9110DFR">
                <anchor>
                  <from>
                    <xdr:col>0</xdr:col>
                    <xdr:colOff>220980</xdr:colOff>
                    <xdr:row>3</xdr:row>
                    <xdr:rowOff>68580</xdr:rowOff>
                  </from>
                  <to>
                    <xdr:col>1</xdr:col>
                    <xdr:colOff>213360</xdr:colOff>
                    <xdr:row>4</xdr:row>
                    <xdr:rowOff>160020</xdr:rowOff>
                  </to>
                </anchor>
              </controlPr>
            </control>
          </mc:Choice>
        </mc:AlternateContent>
        <mc:AlternateContent xmlns:mc="http://schemas.openxmlformats.org/markup-compatibility/2006">
          <mc:Choice Requires="x14">
            <control shapeId="3128" r:id="rId6" name="Button 56">
              <controlPr defaultSize="0" print="0" autoFill="0" autoPict="0" macro="[0]!Clear_FRData">
                <anchor>
                  <from>
                    <xdr:col>2</xdr:col>
                    <xdr:colOff>1836420</xdr:colOff>
                    <xdr:row>9</xdr:row>
                    <xdr:rowOff>38100</xdr:rowOff>
                  </from>
                  <to>
                    <xdr:col>3</xdr:col>
                    <xdr:colOff>868680</xdr:colOff>
                    <xdr:row>9</xdr:row>
                    <xdr:rowOff>198120</xdr:rowOff>
                  </to>
                </anchor>
              </controlPr>
            </control>
          </mc:Choice>
        </mc:AlternateContent>
        <mc:AlternateContent xmlns:mc="http://schemas.openxmlformats.org/markup-compatibility/2006">
          <mc:Choice Requires="x14">
            <control shapeId="3131" r:id="rId7" name="Check Box 59">
              <controlPr locked="0" defaultSize="0" autoFill="0" autoLine="0" autoPict="0">
                <anchor moveWithCells="1">
                  <from>
                    <xdr:col>4</xdr:col>
                    <xdr:colOff>1485900</xdr:colOff>
                    <xdr:row>1</xdr:row>
                    <xdr:rowOff>22860</xdr:rowOff>
                  </from>
                  <to>
                    <xdr:col>4</xdr:col>
                    <xdr:colOff>1737360</xdr:colOff>
                    <xdr:row>2</xdr:row>
                    <xdr:rowOff>7620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 id="{EECCF7E9-8DEB-4CD4-854E-31D7350B15F2}">
            <xm:f>FRRaw!$I$12=FALSE</xm:f>
            <x14:dxf>
              <fill>
                <patternFill>
                  <bgColor theme="0" tint="-0.34998626667073579"/>
                </patternFill>
              </fill>
            </x14:dxf>
          </x14:cfRule>
          <xm:sqref>D8</xm:sqref>
        </x14:conditionalFormatting>
      </x14:conditionalFormattings>
    </ext>
    <ext xmlns:x14="http://schemas.microsoft.com/office/spreadsheetml/2009/9/main" uri="{CCE6A557-97BC-4b89-ADB6-D9C93CAAB3DF}">
      <x14:dataValidations xmlns:xm="http://schemas.microsoft.com/office/excel/2006/main" count="2">
        <x14:dataValidation type="custom" allowBlank="1" showInputMessage="1" showErrorMessage="1" xr:uid="{00000000-0002-0000-0000-000000000000}">
          <x14:formula1>
            <xm:f>IF(FRRaw!A1=FALSE,AND(E4&gt;0,E4&lt;0),TRUE())</xm:f>
          </x14:formula1>
          <xm:sqref>E4</xm:sqref>
        </x14:dataValidation>
        <x14:dataValidation type="custom" allowBlank="1" showInputMessage="1" showErrorMessage="1" errorTitle="Functionality Not Enabled" error="Please enable &quot;Create Calibration Certificate in pC/g&quot; by selecting the checkbox in the top right corner of the FRData sheet." xr:uid="{00000000-0002-0000-0000-000001000000}">
          <x14:formula1>
            <xm:f>IF(FRRaw!I12=FALSE,AND(D8&gt;0,D8&lt;0),TRUE())</xm:f>
          </x14:formula1>
          <xm:sqref>D8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P99"/>
  <sheetViews>
    <sheetView zoomScale="90" zoomScaleNormal="90" workbookViewId="0">
      <selection activeCell="I14" sqref="I14"/>
    </sheetView>
  </sheetViews>
  <sheetFormatPr defaultColWidth="0" defaultRowHeight="13.2" zeroHeight="1" x14ac:dyDescent="0.25"/>
  <cols>
    <col min="1" max="3" width="18.6640625" style="75" customWidth="1"/>
    <col min="4" max="5" width="18.6640625" style="67" customWidth="1"/>
    <col min="6" max="6" width="9.33203125" style="67" customWidth="1"/>
    <col min="7" max="7" width="16.33203125" style="65" customWidth="1"/>
    <col min="8" max="8" width="16.44140625" style="65" customWidth="1"/>
    <col min="9" max="9" width="17" style="65" customWidth="1"/>
    <col min="10" max="10" width="20.6640625" style="65" customWidth="1"/>
    <col min="11" max="11" width="23.33203125" style="65" customWidth="1"/>
    <col min="12" max="12" width="9.109375" style="65" customWidth="1"/>
    <col min="13" max="15" width="0" style="65" hidden="1" customWidth="1"/>
    <col min="16" max="16" width="8.33203125" style="65" hidden="1" customWidth="1"/>
    <col min="17" max="16384" width="0" style="65" hidden="1"/>
  </cols>
  <sheetData>
    <row r="1" spans="1:12" ht="18" customHeight="1" x14ac:dyDescent="0.4">
      <c r="A1" s="68"/>
      <c r="B1" s="69"/>
      <c r="C1" s="83"/>
      <c r="F1" s="71"/>
      <c r="G1" s="68"/>
      <c r="H1" s="69"/>
    </row>
    <row r="2" spans="1:12" ht="18" customHeight="1" x14ac:dyDescent="0.4">
      <c r="A2" s="68"/>
      <c r="B2" s="69"/>
      <c r="C2" s="83"/>
      <c r="F2" s="71"/>
      <c r="G2" s="79"/>
      <c r="H2" s="93"/>
      <c r="I2" s="90"/>
    </row>
    <row r="3" spans="1:12" ht="18" customHeight="1" x14ac:dyDescent="0.4">
      <c r="A3" s="68"/>
      <c r="B3" s="69"/>
      <c r="C3" s="83"/>
      <c r="D3" s="292" t="s">
        <v>168</v>
      </c>
      <c r="F3" s="105"/>
      <c r="G3" s="256" t="s">
        <v>178</v>
      </c>
      <c r="H3" s="257"/>
      <c r="I3" s="258"/>
      <c r="J3" s="92"/>
    </row>
    <row r="4" spans="1:12" ht="18" customHeight="1" x14ac:dyDescent="0.4">
      <c r="A4" s="68"/>
      <c r="B4" s="69"/>
      <c r="C4" s="83"/>
      <c r="D4" s="70" t="s">
        <v>169</v>
      </c>
      <c r="F4" s="105"/>
      <c r="H4" s="69"/>
      <c r="J4" s="92"/>
    </row>
    <row r="5" spans="1:12" ht="18" customHeight="1" x14ac:dyDescent="0.4">
      <c r="A5" s="68"/>
      <c r="B5" s="69"/>
      <c r="C5" s="83"/>
      <c r="D5" s="70" t="str">
        <f>'Linfit Worksheet'!L29</f>
        <v>Version: 3.2.4</v>
      </c>
      <c r="F5" s="105"/>
      <c r="G5" s="298" t="s">
        <v>179</v>
      </c>
      <c r="H5" s="299"/>
      <c r="J5" s="92"/>
    </row>
    <row r="6" spans="1:12" ht="18" customHeight="1" x14ac:dyDescent="0.35">
      <c r="A6" s="69"/>
      <c r="B6" s="65"/>
      <c r="C6" s="83"/>
      <c r="D6" s="84"/>
      <c r="E6" s="84"/>
      <c r="F6" s="71"/>
      <c r="G6" s="96"/>
      <c r="H6" s="96"/>
      <c r="I6" s="97"/>
      <c r="J6" s="86"/>
      <c r="K6" s="70"/>
    </row>
    <row r="7" spans="1:12" ht="18" customHeight="1" x14ac:dyDescent="0.35">
      <c r="A7" s="65"/>
      <c r="B7" s="112" t="b">
        <v>0</v>
      </c>
      <c r="C7" s="65"/>
      <c r="D7" s="65"/>
      <c r="E7" s="65"/>
      <c r="F7" s="72"/>
      <c r="H7" s="69"/>
      <c r="I7" s="85"/>
      <c r="J7" s="86"/>
      <c r="K7" s="70"/>
    </row>
    <row r="8" spans="1:12" ht="18" customHeight="1" x14ac:dyDescent="0.35">
      <c r="A8" s="88"/>
      <c r="B8" s="88"/>
      <c r="C8" s="88"/>
      <c r="D8" s="89"/>
      <c r="E8" s="90"/>
      <c r="F8" s="102"/>
      <c r="G8" s="90"/>
      <c r="H8" s="93"/>
      <c r="I8" s="94"/>
      <c r="J8" s="95"/>
      <c r="K8" s="78"/>
    </row>
    <row r="9" spans="1:12" ht="18" customHeight="1" x14ac:dyDescent="0.35">
      <c r="A9" s="103"/>
      <c r="B9" s="88"/>
      <c r="C9" s="88"/>
      <c r="D9" s="89"/>
      <c r="E9" s="90"/>
      <c r="F9" s="72"/>
      <c r="G9" s="90"/>
      <c r="H9" s="93"/>
      <c r="I9" s="94"/>
      <c r="J9" s="95"/>
      <c r="K9" s="104"/>
      <c r="L9" s="144"/>
    </row>
    <row r="10" spans="1:12" ht="18" customHeight="1" x14ac:dyDescent="0.3">
      <c r="A10" s="386" t="s">
        <v>176</v>
      </c>
      <c r="B10" s="387"/>
      <c r="C10" s="387"/>
      <c r="D10" s="387"/>
      <c r="E10" s="388"/>
      <c r="F10" s="91"/>
      <c r="G10" s="389" t="s">
        <v>177</v>
      </c>
      <c r="H10" s="390"/>
      <c r="I10" s="390"/>
      <c r="J10" s="387"/>
      <c r="K10" s="388"/>
      <c r="L10" s="92"/>
    </row>
    <row r="11" spans="1:12" ht="18" customHeight="1" x14ac:dyDescent="0.25">
      <c r="A11" s="81" t="s">
        <v>175</v>
      </c>
      <c r="B11" s="98" t="str">
        <f>IF(LINRaw!B13&lt;&gt;"",LINRaw!B13,"")</f>
        <v/>
      </c>
      <c r="C11" s="98" t="str">
        <f>IF(LINRaw!C13&lt;&gt;"",LINRaw!C13,"")</f>
        <v/>
      </c>
      <c r="D11" s="80" t="s">
        <v>174</v>
      </c>
      <c r="E11" s="80" t="str">
        <f>FIXED(MAX('Linfit Worksheet'!G4:G19),2)&amp;" %"</f>
        <v>0.00 %</v>
      </c>
      <c r="F11" s="91"/>
      <c r="G11" s="185"/>
      <c r="H11" s="185"/>
      <c r="I11" s="185"/>
      <c r="J11" s="80" t="s">
        <v>174</v>
      </c>
      <c r="K11" s="80" t="str">
        <f>IF(K15&lt;&gt;"",FIXED(MAX(K15:K39)*100,2),"0.00")&amp;" %"</f>
        <v>0.00 %</v>
      </c>
      <c r="L11" s="92"/>
    </row>
    <row r="12" spans="1:12" ht="18" customHeight="1" x14ac:dyDescent="0.25">
      <c r="A12" s="384" t="s">
        <v>170</v>
      </c>
      <c r="B12" s="294" t="s">
        <v>171</v>
      </c>
      <c r="C12" s="294" t="s">
        <v>172</v>
      </c>
      <c r="D12" s="295" t="s">
        <v>164</v>
      </c>
      <c r="E12" s="295" t="s">
        <v>173</v>
      </c>
      <c r="F12" s="91"/>
      <c r="G12" s="385" t="s">
        <v>170</v>
      </c>
      <c r="H12" s="190" t="s">
        <v>65</v>
      </c>
      <c r="I12" s="300" t="s">
        <v>172</v>
      </c>
      <c r="J12" s="295" t="s">
        <v>164</v>
      </c>
      <c r="K12" s="295" t="s">
        <v>173</v>
      </c>
      <c r="L12" s="92"/>
    </row>
    <row r="13" spans="1:12" ht="18" customHeight="1" x14ac:dyDescent="0.25">
      <c r="A13" s="384"/>
      <c r="B13" s="294" t="str">
        <f>IF(LINRaw!G13&lt;&gt;"",LINRaw!G13,"")</f>
        <v/>
      </c>
      <c r="C13" s="294" t="str">
        <f>IF(D13&lt;&gt;0,LEFT(D13,FIND("/",D13,1)-1),"")</f>
        <v/>
      </c>
      <c r="D13" s="295">
        <f>LINRaw!E13</f>
        <v>0</v>
      </c>
      <c r="E13" s="295" t="s">
        <v>10</v>
      </c>
      <c r="F13" s="91"/>
      <c r="G13" s="384"/>
      <c r="H13" s="190" t="s">
        <v>54</v>
      </c>
      <c r="I13" s="190" t="s">
        <v>87</v>
      </c>
      <c r="J13" s="295" t="str">
        <f>I13&amp;"/"&amp;'Linfit Worksheet'!AD1</f>
        <v>mV/g</v>
      </c>
      <c r="K13" s="295" t="s">
        <v>10</v>
      </c>
      <c r="L13" s="92"/>
    </row>
    <row r="14" spans="1:12" ht="18" customHeight="1" x14ac:dyDescent="0.25">
      <c r="A14" s="82">
        <v>1</v>
      </c>
      <c r="B14" s="110" t="str">
        <f>IF(LINRaw!B13&gt;0,LINRaw!F13,"")</f>
        <v/>
      </c>
      <c r="C14" s="111" t="str">
        <f>IF(B14&lt;&gt;"",D14*B14,"")</f>
        <v/>
      </c>
      <c r="D14" s="31" t="str">
        <f>IF(LINRaw!B13&gt;0,LINRaw!D13,"")</f>
        <v/>
      </c>
      <c r="E14" s="30" t="str">
        <f>'Linfit Worksheet'!F4</f>
        <v/>
      </c>
      <c r="F14" s="91"/>
      <c r="G14" s="82" t="s">
        <v>284</v>
      </c>
      <c r="H14" s="296"/>
      <c r="I14" s="297"/>
      <c r="J14" s="295"/>
      <c r="K14" s="295"/>
      <c r="L14" s="92"/>
    </row>
    <row r="15" spans="1:12" ht="18" customHeight="1" x14ac:dyDescent="0.25">
      <c r="A15" s="82">
        <v>2</v>
      </c>
      <c r="B15" s="110" t="str">
        <f>IF(LINRaw!B14&gt;0,LINRaw!F14,"")</f>
        <v/>
      </c>
      <c r="C15" s="111" t="str">
        <f t="shared" ref="C15:C43" si="0">IF(B15&lt;&gt;"",D15*B15,"")</f>
        <v/>
      </c>
      <c r="D15" s="31" t="str">
        <f>IF(LINRaw!B14&gt;0,LINRaw!D14,"")</f>
        <v/>
      </c>
      <c r="E15" s="30" t="str">
        <f>'Linfit Worksheet'!F5</f>
        <v/>
      </c>
      <c r="F15" s="91"/>
      <c r="G15" s="82">
        <v>1</v>
      </c>
      <c r="H15" s="296"/>
      <c r="I15" s="297"/>
      <c r="J15" s="31" t="str">
        <f t="shared" ref="J15:J22" si="1">IF(H15&lt;&gt;"",IF(I15&lt;&gt;"",(I15-I14)/(H15-H14),""),"")</f>
        <v/>
      </c>
      <c r="K15" s="109" t="str">
        <f>IF(H15&lt;&gt;"",IF(I15&lt;&gt;"",'Linfit Worksheet'!N4,""),"")</f>
        <v/>
      </c>
      <c r="L15" s="92"/>
    </row>
    <row r="16" spans="1:12" ht="18" customHeight="1" x14ac:dyDescent="0.25">
      <c r="A16" s="82">
        <v>3</v>
      </c>
      <c r="B16" s="110" t="str">
        <f>IF(LINRaw!B15&gt;0,LINRaw!F15,"")</f>
        <v/>
      </c>
      <c r="C16" s="111" t="str">
        <f t="shared" si="0"/>
        <v/>
      </c>
      <c r="D16" s="31" t="str">
        <f>IF(LINRaw!B15&gt;0,LINRaw!D15,"")</f>
        <v/>
      </c>
      <c r="E16" s="30" t="str">
        <f>'Linfit Worksheet'!F6</f>
        <v/>
      </c>
      <c r="F16" s="91"/>
      <c r="G16" s="82">
        <v>2</v>
      </c>
      <c r="H16" s="296"/>
      <c r="I16" s="297"/>
      <c r="J16" s="31" t="str">
        <f t="shared" si="1"/>
        <v/>
      </c>
      <c r="K16" s="109" t="str">
        <f>IF(H16&lt;&gt;"",IF(I16&lt;&gt;"",'Linfit Worksheet'!N5,""),"")</f>
        <v/>
      </c>
      <c r="L16" s="92"/>
    </row>
    <row r="17" spans="1:12" ht="18" customHeight="1" x14ac:dyDescent="0.25">
      <c r="A17" s="82">
        <v>4</v>
      </c>
      <c r="B17" s="110" t="str">
        <f>IF(LINRaw!B16&gt;0,LINRaw!F16,"")</f>
        <v/>
      </c>
      <c r="C17" s="111" t="str">
        <f t="shared" si="0"/>
        <v/>
      </c>
      <c r="D17" s="31" t="str">
        <f>IF(LINRaw!B16&gt;0,LINRaw!D16,"")</f>
        <v/>
      </c>
      <c r="E17" s="30" t="str">
        <f>'Linfit Worksheet'!F7</f>
        <v/>
      </c>
      <c r="F17" s="91"/>
      <c r="G17" s="82">
        <v>3</v>
      </c>
      <c r="H17" s="296"/>
      <c r="I17" s="297"/>
      <c r="J17" s="31" t="str">
        <f t="shared" si="1"/>
        <v/>
      </c>
      <c r="K17" s="109" t="str">
        <f>IF(H17&lt;&gt;"",IF(I17&lt;&gt;"",'Linfit Worksheet'!N6,""),"")</f>
        <v/>
      </c>
      <c r="L17" s="92"/>
    </row>
    <row r="18" spans="1:12" ht="18" customHeight="1" x14ac:dyDescent="0.25">
      <c r="A18" s="82">
        <v>5</v>
      </c>
      <c r="B18" s="110" t="str">
        <f>IF(LINRaw!B17&gt;0,LINRaw!F17,"")</f>
        <v/>
      </c>
      <c r="C18" s="111" t="str">
        <f t="shared" si="0"/>
        <v/>
      </c>
      <c r="D18" s="31" t="str">
        <f>IF(LINRaw!B17&gt;0,LINRaw!D17,"")</f>
        <v/>
      </c>
      <c r="E18" s="30" t="str">
        <f>'Linfit Worksheet'!F8</f>
        <v/>
      </c>
      <c r="F18" s="91"/>
      <c r="G18" s="82">
        <v>4</v>
      </c>
      <c r="H18" s="296"/>
      <c r="I18" s="297"/>
      <c r="J18" s="31" t="str">
        <f t="shared" si="1"/>
        <v/>
      </c>
      <c r="K18" s="109" t="str">
        <f>IF(H18&lt;&gt;"",IF(I18&lt;&gt;"",'Linfit Worksheet'!N7,""),"")</f>
        <v/>
      </c>
      <c r="L18" s="92"/>
    </row>
    <row r="19" spans="1:12" ht="18" customHeight="1" x14ac:dyDescent="0.25">
      <c r="A19" s="82">
        <v>6</v>
      </c>
      <c r="B19" s="110" t="str">
        <f>IF(LINRaw!B18&gt;0,LINRaw!F18,"")</f>
        <v/>
      </c>
      <c r="C19" s="111" t="str">
        <f t="shared" si="0"/>
        <v/>
      </c>
      <c r="D19" s="31" t="str">
        <f>IF(LINRaw!B18&gt;0,LINRaw!D18,"")</f>
        <v/>
      </c>
      <c r="E19" s="30" t="str">
        <f>'Linfit Worksheet'!F9</f>
        <v/>
      </c>
      <c r="F19" s="91"/>
      <c r="G19" s="82">
        <v>5</v>
      </c>
      <c r="H19" s="296"/>
      <c r="I19" s="297"/>
      <c r="J19" s="31" t="str">
        <f t="shared" si="1"/>
        <v/>
      </c>
      <c r="K19" s="109" t="str">
        <f>IF(H19&lt;&gt;"",IF(I19&lt;&gt;"",'Linfit Worksheet'!N8,""),"")</f>
        <v/>
      </c>
      <c r="L19" s="92"/>
    </row>
    <row r="20" spans="1:12" ht="18" customHeight="1" x14ac:dyDescent="0.25">
      <c r="A20" s="82">
        <v>7</v>
      </c>
      <c r="B20" s="110" t="str">
        <f>IF(LINRaw!B19&gt;0,LINRaw!F19,"")</f>
        <v/>
      </c>
      <c r="C20" s="111" t="str">
        <f t="shared" si="0"/>
        <v/>
      </c>
      <c r="D20" s="31" t="str">
        <f>IF(LINRaw!B19&gt;0,LINRaw!D19,"")</f>
        <v/>
      </c>
      <c r="E20" s="30" t="str">
        <f>'Linfit Worksheet'!F10</f>
        <v/>
      </c>
      <c r="F20" s="91"/>
      <c r="G20" s="82">
        <v>6</v>
      </c>
      <c r="H20" s="296"/>
      <c r="I20" s="297"/>
      <c r="J20" s="31" t="str">
        <f t="shared" si="1"/>
        <v/>
      </c>
      <c r="K20" s="109" t="str">
        <f>IF(H20&lt;&gt;"",IF(I20&lt;&gt;"",'Linfit Worksheet'!N9,""),"")</f>
        <v/>
      </c>
      <c r="L20" s="92"/>
    </row>
    <row r="21" spans="1:12" ht="18" customHeight="1" x14ac:dyDescent="0.25">
      <c r="A21" s="82">
        <v>8</v>
      </c>
      <c r="B21" s="110" t="str">
        <f>IF(LINRaw!B20&gt;0,LINRaw!F20,"")</f>
        <v/>
      </c>
      <c r="C21" s="111" t="str">
        <f t="shared" si="0"/>
        <v/>
      </c>
      <c r="D21" s="31" t="str">
        <f>IF(LINRaw!B20&gt;0,LINRaw!D20,"")</f>
        <v/>
      </c>
      <c r="E21" s="30" t="str">
        <f>'Linfit Worksheet'!F11</f>
        <v/>
      </c>
      <c r="F21" s="91"/>
      <c r="G21" s="82">
        <v>7</v>
      </c>
      <c r="H21" s="296"/>
      <c r="I21" s="297"/>
      <c r="J21" s="31" t="str">
        <f t="shared" si="1"/>
        <v/>
      </c>
      <c r="K21" s="109" t="str">
        <f>IF(H21&lt;&gt;"",IF(I21&lt;&gt;"",'Linfit Worksheet'!N10,""),"")</f>
        <v/>
      </c>
      <c r="L21" s="92"/>
    </row>
    <row r="22" spans="1:12" ht="18" customHeight="1" x14ac:dyDescent="0.25">
      <c r="A22" s="82">
        <v>9</v>
      </c>
      <c r="B22" s="110" t="str">
        <f>IF(LINRaw!B21&gt;0,LINRaw!F21,"")</f>
        <v/>
      </c>
      <c r="C22" s="111" t="str">
        <f t="shared" si="0"/>
        <v/>
      </c>
      <c r="D22" s="31" t="str">
        <f>IF(LINRaw!B21&gt;0,LINRaw!D21,"")</f>
        <v/>
      </c>
      <c r="E22" s="30" t="str">
        <f>'Linfit Worksheet'!F12</f>
        <v/>
      </c>
      <c r="F22" s="91"/>
      <c r="G22" s="82">
        <v>8</v>
      </c>
      <c r="H22" s="296"/>
      <c r="I22" s="297"/>
      <c r="J22" s="31" t="str">
        <f t="shared" si="1"/>
        <v/>
      </c>
      <c r="K22" s="109" t="str">
        <f>IF(H22&lt;&gt;"",IF(I22&lt;&gt;"",'Linfit Worksheet'!N11,""),"")</f>
        <v/>
      </c>
      <c r="L22" s="92"/>
    </row>
    <row r="23" spans="1:12" ht="18" customHeight="1" x14ac:dyDescent="0.25">
      <c r="A23" s="82">
        <v>10</v>
      </c>
      <c r="B23" s="110" t="str">
        <f>IF(LINRaw!B22&gt;0,LINRaw!F22,"")</f>
        <v/>
      </c>
      <c r="C23" s="111" t="str">
        <f t="shared" si="0"/>
        <v/>
      </c>
      <c r="D23" s="31" t="str">
        <f>IF(LINRaw!B22&gt;0,LINRaw!D22,"")</f>
        <v/>
      </c>
      <c r="E23" s="30" t="str">
        <f>'Linfit Worksheet'!F13</f>
        <v/>
      </c>
      <c r="F23" s="91"/>
      <c r="G23" s="82">
        <v>9</v>
      </c>
      <c r="H23" s="296"/>
      <c r="I23" s="297"/>
      <c r="J23" s="31" t="str">
        <f t="shared" ref="J23:J39" si="2">IF(H23&lt;&gt;"",IF(I23&lt;&gt;"",(I23-I22)/(H23-H22),""),"")</f>
        <v/>
      </c>
      <c r="K23" s="109" t="str">
        <f>IF(H23&lt;&gt;"",IF(I23&lt;&gt;"",'Linfit Worksheet'!N12,""),"")</f>
        <v/>
      </c>
      <c r="L23" s="92"/>
    </row>
    <row r="24" spans="1:12" ht="18" customHeight="1" x14ac:dyDescent="0.25">
      <c r="A24" s="82">
        <v>11</v>
      </c>
      <c r="B24" s="110" t="str">
        <f>IF(LINRaw!B23&gt;0,LINRaw!F23,"")</f>
        <v/>
      </c>
      <c r="C24" s="111" t="str">
        <f t="shared" si="0"/>
        <v/>
      </c>
      <c r="D24" s="31" t="str">
        <f>IF(LINRaw!B23&gt;0,LINRaw!D23,"")</f>
        <v/>
      </c>
      <c r="E24" s="30" t="str">
        <f>'Linfit Worksheet'!F14</f>
        <v/>
      </c>
      <c r="F24" s="91"/>
      <c r="G24" s="82">
        <v>10</v>
      </c>
      <c r="H24" s="296"/>
      <c r="I24" s="297"/>
      <c r="J24" s="31" t="str">
        <f>IF(H24&lt;&gt;"",IF(I24&lt;&gt;"",(I24-I23)/(H24-H23),""),"")</f>
        <v/>
      </c>
      <c r="K24" s="109" t="str">
        <f>IF(H24&lt;&gt;"",IF(I24&lt;&gt;"",'Linfit Worksheet'!N13,""),"")</f>
        <v/>
      </c>
      <c r="L24" s="92"/>
    </row>
    <row r="25" spans="1:12" ht="18" customHeight="1" x14ac:dyDescent="0.25">
      <c r="A25" s="82">
        <v>12</v>
      </c>
      <c r="B25" s="110" t="str">
        <f>IF(LINRaw!B24&gt;0,LINRaw!F24,"")</f>
        <v/>
      </c>
      <c r="C25" s="111" t="str">
        <f t="shared" si="0"/>
        <v/>
      </c>
      <c r="D25" s="31" t="str">
        <f>IF(LINRaw!B24&gt;0,LINRaw!D24,"")</f>
        <v/>
      </c>
      <c r="E25" s="30" t="str">
        <f>'Linfit Worksheet'!F15</f>
        <v/>
      </c>
      <c r="F25" s="91"/>
      <c r="G25" s="82">
        <v>11</v>
      </c>
      <c r="H25" s="296"/>
      <c r="I25" s="297"/>
      <c r="J25" s="31" t="str">
        <f t="shared" si="2"/>
        <v/>
      </c>
      <c r="K25" s="109" t="str">
        <f>IF(H25&lt;&gt;"",IF(I25&lt;&gt;"",'Linfit Worksheet'!N14,""),"")</f>
        <v/>
      </c>
      <c r="L25" s="92"/>
    </row>
    <row r="26" spans="1:12" ht="18" customHeight="1" x14ac:dyDescent="0.25">
      <c r="A26" s="82">
        <v>13</v>
      </c>
      <c r="B26" s="110" t="str">
        <f>IF(LINRaw!B25&gt;0,LINRaw!F25,"")</f>
        <v/>
      </c>
      <c r="C26" s="111" t="str">
        <f t="shared" si="0"/>
        <v/>
      </c>
      <c r="D26" s="31" t="str">
        <f>IF(LINRaw!B25&gt;0,LINRaw!D25,"")</f>
        <v/>
      </c>
      <c r="E26" s="30" t="str">
        <f>'Linfit Worksheet'!F16</f>
        <v/>
      </c>
      <c r="F26" s="91"/>
      <c r="G26" s="82">
        <v>12</v>
      </c>
      <c r="H26" s="296"/>
      <c r="I26" s="297"/>
      <c r="J26" s="31" t="str">
        <f t="shared" si="2"/>
        <v/>
      </c>
      <c r="K26" s="109" t="str">
        <f>IF(H26&lt;&gt;"",IF(I26&lt;&gt;"",'Linfit Worksheet'!N15,""),"")</f>
        <v/>
      </c>
      <c r="L26" s="92"/>
    </row>
    <row r="27" spans="1:12" ht="18" customHeight="1" x14ac:dyDescent="0.25">
      <c r="A27" s="82">
        <v>14</v>
      </c>
      <c r="B27" s="110" t="str">
        <f>IF(LINRaw!B26&gt;0,LINRaw!F26,"")</f>
        <v/>
      </c>
      <c r="C27" s="111" t="str">
        <f t="shared" si="0"/>
        <v/>
      </c>
      <c r="D27" s="31" t="str">
        <f>IF(LINRaw!B26&gt;0,LINRaw!D26,"")</f>
        <v/>
      </c>
      <c r="E27" s="30" t="str">
        <f>'Linfit Worksheet'!F17</f>
        <v/>
      </c>
      <c r="F27" s="91"/>
      <c r="G27" s="82">
        <v>13</v>
      </c>
      <c r="H27" s="296"/>
      <c r="I27" s="297"/>
      <c r="J27" s="31" t="str">
        <f t="shared" si="2"/>
        <v/>
      </c>
      <c r="K27" s="109" t="str">
        <f>IF(H27&lt;&gt;"",IF(I27&lt;&gt;"",'Linfit Worksheet'!N16,""),"")</f>
        <v/>
      </c>
      <c r="L27" s="92"/>
    </row>
    <row r="28" spans="1:12" ht="18" customHeight="1" x14ac:dyDescent="0.25">
      <c r="A28" s="82">
        <v>15</v>
      </c>
      <c r="B28" s="110" t="str">
        <f>IF(LINRaw!B27&gt;0,LINRaw!F27,"")</f>
        <v/>
      </c>
      <c r="C28" s="111" t="str">
        <f t="shared" si="0"/>
        <v/>
      </c>
      <c r="D28" s="31" t="str">
        <f>IF(LINRaw!B27&gt;0,LINRaw!D27,"")</f>
        <v/>
      </c>
      <c r="E28" s="30" t="str">
        <f>'Linfit Worksheet'!F18</f>
        <v/>
      </c>
      <c r="F28" s="91"/>
      <c r="G28" s="82">
        <v>14</v>
      </c>
      <c r="H28" s="296"/>
      <c r="I28" s="297"/>
      <c r="J28" s="31" t="str">
        <f t="shared" si="2"/>
        <v/>
      </c>
      <c r="K28" s="109" t="str">
        <f>IF(H28&lt;&gt;"",IF(I28&lt;&gt;"",'Linfit Worksheet'!N17,""),"")</f>
        <v/>
      </c>
      <c r="L28" s="92"/>
    </row>
    <row r="29" spans="1:12" ht="18" customHeight="1" x14ac:dyDescent="0.25">
      <c r="A29" s="82">
        <v>16</v>
      </c>
      <c r="B29" s="110" t="str">
        <f>IF(LINRaw!B28&gt;0,LINRaw!F28,"")</f>
        <v/>
      </c>
      <c r="C29" s="111" t="str">
        <f t="shared" si="0"/>
        <v/>
      </c>
      <c r="D29" s="31" t="str">
        <f>IF(LINRaw!B28&gt;0,LINRaw!D28,"")</f>
        <v/>
      </c>
      <c r="E29" s="30" t="str">
        <f>'Linfit Worksheet'!F19</f>
        <v/>
      </c>
      <c r="F29" s="91"/>
      <c r="G29" s="82">
        <v>15</v>
      </c>
      <c r="H29" s="296"/>
      <c r="I29" s="297"/>
      <c r="J29" s="31" t="str">
        <f t="shared" si="2"/>
        <v/>
      </c>
      <c r="K29" s="109" t="str">
        <f>IF(H29&lt;&gt;"",IF(I29&lt;&gt;"",'Linfit Worksheet'!N18,""),"")</f>
        <v/>
      </c>
      <c r="L29" s="92"/>
    </row>
    <row r="30" spans="1:12" ht="18" customHeight="1" x14ac:dyDescent="0.25">
      <c r="A30" s="82">
        <v>17</v>
      </c>
      <c r="B30" s="110" t="str">
        <f>IF(LINRaw!B29&gt;0,LINRaw!F29,"")</f>
        <v/>
      </c>
      <c r="C30" s="111" t="str">
        <f t="shared" si="0"/>
        <v/>
      </c>
      <c r="D30" s="31" t="str">
        <f>IF(LINRaw!B29&gt;0,LINRaw!D29,"")</f>
        <v/>
      </c>
      <c r="E30" s="30" t="str">
        <f>'Linfit Worksheet'!F20</f>
        <v/>
      </c>
      <c r="F30" s="91"/>
      <c r="G30" s="82">
        <v>16</v>
      </c>
      <c r="H30" s="296"/>
      <c r="I30" s="297"/>
      <c r="J30" s="31" t="str">
        <f t="shared" si="2"/>
        <v/>
      </c>
      <c r="K30" s="109" t="str">
        <f>IF(H30&lt;&gt;"",IF(I30&lt;&gt;"",'Linfit Worksheet'!N19,""),"")</f>
        <v/>
      </c>
      <c r="L30" s="92"/>
    </row>
    <row r="31" spans="1:12" ht="18" customHeight="1" x14ac:dyDescent="0.25">
      <c r="A31" s="82">
        <v>18</v>
      </c>
      <c r="B31" s="110" t="str">
        <f>IF(LINRaw!B30&gt;0,LINRaw!F30,"")</f>
        <v/>
      </c>
      <c r="C31" s="111" t="str">
        <f t="shared" si="0"/>
        <v/>
      </c>
      <c r="D31" s="31" t="str">
        <f>IF(LINRaw!B30&gt;0,LINRaw!D30,"")</f>
        <v/>
      </c>
      <c r="E31" s="30" t="str">
        <f>'Linfit Worksheet'!F21</f>
        <v/>
      </c>
      <c r="F31" s="91"/>
      <c r="G31" s="82">
        <v>17</v>
      </c>
      <c r="H31" s="296"/>
      <c r="I31" s="297"/>
      <c r="J31" s="31" t="str">
        <f t="shared" si="2"/>
        <v/>
      </c>
      <c r="K31" s="109" t="str">
        <f>IF(H31&lt;&gt;"",IF(I31&lt;&gt;"",'Linfit Worksheet'!N20,""),"")</f>
        <v/>
      </c>
      <c r="L31" s="92"/>
    </row>
    <row r="32" spans="1:12" ht="18" customHeight="1" x14ac:dyDescent="0.25">
      <c r="A32" s="82">
        <v>19</v>
      </c>
      <c r="B32" s="110" t="str">
        <f>IF(LINRaw!B31&gt;0,LINRaw!F31,"")</f>
        <v/>
      </c>
      <c r="C32" s="111" t="str">
        <f t="shared" si="0"/>
        <v/>
      </c>
      <c r="D32" s="31" t="str">
        <f>IF(LINRaw!B31&gt;0,LINRaw!D31,"")</f>
        <v/>
      </c>
      <c r="E32" s="30" t="str">
        <f>'Linfit Worksheet'!F22</f>
        <v/>
      </c>
      <c r="F32" s="91"/>
      <c r="G32" s="82">
        <v>18</v>
      </c>
      <c r="H32" s="296"/>
      <c r="I32" s="297"/>
      <c r="J32" s="31" t="str">
        <f t="shared" si="2"/>
        <v/>
      </c>
      <c r="K32" s="109" t="str">
        <f>IF(H32&lt;&gt;"",IF(I32&lt;&gt;"",'Linfit Worksheet'!N21,""),"")</f>
        <v/>
      </c>
      <c r="L32" s="92"/>
    </row>
    <row r="33" spans="1:12" ht="18" customHeight="1" x14ac:dyDescent="0.25">
      <c r="A33" s="82">
        <v>20</v>
      </c>
      <c r="B33" s="110" t="str">
        <f>IF(LINRaw!B32&gt;0,LINRaw!F32,"")</f>
        <v/>
      </c>
      <c r="C33" s="111" t="str">
        <f t="shared" si="0"/>
        <v/>
      </c>
      <c r="D33" s="31" t="str">
        <f>IF(LINRaw!B32&gt;0,LINRaw!D32,"")</f>
        <v/>
      </c>
      <c r="E33" s="30" t="str">
        <f>'Linfit Worksheet'!F23</f>
        <v/>
      </c>
      <c r="F33" s="101"/>
      <c r="G33" s="82">
        <v>19</v>
      </c>
      <c r="H33" s="296"/>
      <c r="I33" s="297"/>
      <c r="J33" s="31" t="str">
        <f t="shared" si="2"/>
        <v/>
      </c>
      <c r="K33" s="109" t="str">
        <f>IF(H33&lt;&gt;"",IF(I33&lt;&gt;"",'Linfit Worksheet'!N22,""),"")</f>
        <v/>
      </c>
      <c r="L33" s="92"/>
    </row>
    <row r="34" spans="1:12" ht="18" customHeight="1" x14ac:dyDescent="0.25">
      <c r="A34" s="82">
        <v>21</v>
      </c>
      <c r="B34" s="110" t="str">
        <f>IF(LINRaw!B33&gt;0,LINRaw!F33,"")</f>
        <v/>
      </c>
      <c r="C34" s="111" t="str">
        <f t="shared" si="0"/>
        <v/>
      </c>
      <c r="D34" s="31" t="str">
        <f>IF(LINRaw!B33&gt;0,LINRaw!D33,"")</f>
        <v/>
      </c>
      <c r="E34" s="30" t="str">
        <f>'Linfit Worksheet'!F24</f>
        <v/>
      </c>
      <c r="F34" s="99"/>
      <c r="G34" s="82">
        <v>20</v>
      </c>
      <c r="H34" s="296"/>
      <c r="I34" s="297"/>
      <c r="J34" s="31" t="str">
        <f t="shared" si="2"/>
        <v/>
      </c>
      <c r="K34" s="109" t="str">
        <f>IF(H34&lt;&gt;"",IF(I34&lt;&gt;"",'Linfit Worksheet'!N23,""),"")</f>
        <v/>
      </c>
    </row>
    <row r="35" spans="1:12" ht="18" customHeight="1" x14ac:dyDescent="0.25">
      <c r="A35" s="82">
        <v>22</v>
      </c>
      <c r="B35" s="110" t="str">
        <f>IF(LINRaw!B34&gt;0,LINRaw!F34,"")</f>
        <v/>
      </c>
      <c r="C35" s="111" t="str">
        <f t="shared" si="0"/>
        <v/>
      </c>
      <c r="D35" s="31" t="str">
        <f>IF(LINRaw!B34&gt;0,LINRaw!D34,"")</f>
        <v/>
      </c>
      <c r="E35" s="30" t="str">
        <f>'Linfit Worksheet'!F25</f>
        <v/>
      </c>
      <c r="F35" s="99"/>
      <c r="G35" s="82">
        <v>21</v>
      </c>
      <c r="H35" s="296"/>
      <c r="I35" s="297"/>
      <c r="J35" s="31" t="str">
        <f t="shared" si="2"/>
        <v/>
      </c>
      <c r="K35" s="109" t="str">
        <f>IF(H35&lt;&gt;"",IF(I35&lt;&gt;"",'Linfit Worksheet'!N24,""),"")</f>
        <v/>
      </c>
    </row>
    <row r="36" spans="1:12" ht="18" customHeight="1" x14ac:dyDescent="0.25">
      <c r="A36" s="82">
        <v>23</v>
      </c>
      <c r="B36" s="110" t="str">
        <f>IF(LINRaw!B35&gt;0,LINRaw!F35,"")</f>
        <v/>
      </c>
      <c r="C36" s="111" t="str">
        <f t="shared" si="0"/>
        <v/>
      </c>
      <c r="D36" s="31" t="str">
        <f>IF(LINRaw!B35&gt;0,LINRaw!D35,"")</f>
        <v/>
      </c>
      <c r="E36" s="30" t="str">
        <f>'Linfit Worksheet'!F26</f>
        <v/>
      </c>
      <c r="F36" s="99"/>
      <c r="G36" s="82">
        <v>22</v>
      </c>
      <c r="H36" s="296"/>
      <c r="I36" s="297"/>
      <c r="J36" s="31" t="str">
        <f t="shared" si="2"/>
        <v/>
      </c>
      <c r="K36" s="109" t="str">
        <f>IF(H36&lt;&gt;"",IF(I36&lt;&gt;"",'Linfit Worksheet'!N25,""),"")</f>
        <v/>
      </c>
    </row>
    <row r="37" spans="1:12" ht="18" customHeight="1" x14ac:dyDescent="0.25">
      <c r="A37" s="82">
        <v>24</v>
      </c>
      <c r="B37" s="110" t="str">
        <f>IF(LINRaw!B36&gt;0,LINRaw!F36,"")</f>
        <v/>
      </c>
      <c r="C37" s="111" t="str">
        <f t="shared" si="0"/>
        <v/>
      </c>
      <c r="D37" s="31" t="str">
        <f>IF(LINRaw!B36&gt;0,LINRaw!D36,"")</f>
        <v/>
      </c>
      <c r="E37" s="30" t="str">
        <f>'Linfit Worksheet'!F27</f>
        <v/>
      </c>
      <c r="F37" s="100"/>
      <c r="G37" s="82">
        <v>23</v>
      </c>
      <c r="H37" s="296"/>
      <c r="I37" s="297"/>
      <c r="J37" s="31" t="str">
        <f t="shared" si="2"/>
        <v/>
      </c>
      <c r="K37" s="109" t="str">
        <f>IF(H37&lt;&gt;"",IF(I37&lt;&gt;"",'Linfit Worksheet'!N26,""),"")</f>
        <v/>
      </c>
    </row>
    <row r="38" spans="1:12" ht="18" customHeight="1" x14ac:dyDescent="0.25">
      <c r="A38" s="82">
        <v>25</v>
      </c>
      <c r="B38" s="110" t="str">
        <f>IF(LINRaw!B37&gt;0,LINRaw!F37,"")</f>
        <v/>
      </c>
      <c r="C38" s="111" t="str">
        <f t="shared" si="0"/>
        <v/>
      </c>
      <c r="D38" s="31" t="str">
        <f>IF(LINRaw!B37&gt;0,LINRaw!D37,"")</f>
        <v/>
      </c>
      <c r="E38" s="30" t="str">
        <f>'Linfit Worksheet'!F28</f>
        <v/>
      </c>
      <c r="F38" s="100"/>
      <c r="G38" s="82">
        <v>24</v>
      </c>
      <c r="H38" s="296"/>
      <c r="I38" s="297"/>
      <c r="J38" s="31" t="str">
        <f t="shared" si="2"/>
        <v/>
      </c>
      <c r="K38" s="109" t="str">
        <f>IF(H38&lt;&gt;"",IF(I38&lt;&gt;"",'Linfit Worksheet'!N27,""),"")</f>
        <v/>
      </c>
    </row>
    <row r="39" spans="1:12" ht="18" customHeight="1" x14ac:dyDescent="0.25">
      <c r="A39" s="82">
        <v>26</v>
      </c>
      <c r="B39" s="110" t="str">
        <f>IF(LINRaw!B38&gt;0,LINRaw!F38,"")</f>
        <v/>
      </c>
      <c r="C39" s="111" t="str">
        <f t="shared" si="0"/>
        <v/>
      </c>
      <c r="D39" s="31" t="str">
        <f>IF(LINRaw!B38&gt;0,LINRaw!D38,"")</f>
        <v/>
      </c>
      <c r="E39" s="30" t="str">
        <f>'Linfit Worksheet'!F29</f>
        <v/>
      </c>
      <c r="F39" s="100"/>
      <c r="G39" s="82">
        <v>25</v>
      </c>
      <c r="H39" s="296"/>
      <c r="I39" s="297"/>
      <c r="J39" s="31" t="str">
        <f t="shared" si="2"/>
        <v/>
      </c>
      <c r="K39" s="109" t="str">
        <f>IF(H39&lt;&gt;"",IF(I39&lt;&gt;"",'Linfit Worksheet'!N28,""),"")</f>
        <v/>
      </c>
    </row>
    <row r="40" spans="1:12" ht="18" customHeight="1" x14ac:dyDescent="0.3">
      <c r="A40" s="82">
        <v>27</v>
      </c>
      <c r="B40" s="110" t="str">
        <f>IF(LINRaw!B39&gt;0,LINRaw!F39,"")</f>
        <v/>
      </c>
      <c r="C40" s="111" t="str">
        <f t="shared" si="0"/>
        <v/>
      </c>
      <c r="D40" s="31" t="str">
        <f>IF(LINRaw!B39&gt;0,LINRaw!D39,"")</f>
        <v/>
      </c>
      <c r="E40" s="30" t="str">
        <f>'Linfit Worksheet'!F30</f>
        <v/>
      </c>
      <c r="F40" s="100"/>
      <c r="G40" s="145"/>
      <c r="H40" s="146"/>
      <c r="I40" s="146"/>
      <c r="J40" s="147"/>
      <c r="K40" s="72"/>
    </row>
    <row r="41" spans="1:12" ht="18" customHeight="1" x14ac:dyDescent="0.3">
      <c r="A41" s="82">
        <v>28</v>
      </c>
      <c r="B41" s="110" t="str">
        <f>IF(LINRaw!B40&gt;0,LINRaw!F40,"")</f>
        <v/>
      </c>
      <c r="C41" s="111" t="str">
        <f t="shared" si="0"/>
        <v/>
      </c>
      <c r="D41" s="31" t="str">
        <f>IF(LINRaw!B40&gt;0,LINRaw!D40,"")</f>
        <v/>
      </c>
      <c r="E41" s="30" t="str">
        <f>'Linfit Worksheet'!F31</f>
        <v/>
      </c>
      <c r="F41" s="100"/>
      <c r="G41" s="145"/>
      <c r="H41" s="146"/>
      <c r="I41" s="146"/>
      <c r="J41" s="147"/>
      <c r="K41" s="72"/>
    </row>
    <row r="42" spans="1:12" ht="18" customHeight="1" x14ac:dyDescent="0.3">
      <c r="A42" s="82">
        <v>29</v>
      </c>
      <c r="B42" s="110" t="str">
        <f>IF(LINRaw!B41&gt;0,LINRaw!F41,"")</f>
        <v/>
      </c>
      <c r="C42" s="111" t="str">
        <f t="shared" si="0"/>
        <v/>
      </c>
      <c r="D42" s="31" t="str">
        <f>IF(LINRaw!B41&gt;0,LINRaw!D41,"")</f>
        <v/>
      </c>
      <c r="E42" s="30" t="str">
        <f>'Linfit Worksheet'!F32</f>
        <v/>
      </c>
      <c r="F42" s="100"/>
      <c r="G42" s="145"/>
      <c r="H42" s="146"/>
      <c r="I42" s="146"/>
      <c r="J42" s="147"/>
      <c r="K42" s="72"/>
    </row>
    <row r="43" spans="1:12" ht="18" customHeight="1" x14ac:dyDescent="0.3">
      <c r="A43" s="82">
        <v>30</v>
      </c>
      <c r="B43" s="110" t="str">
        <f>IF(LINRaw!B42&gt;0,LINRaw!F42,"")</f>
        <v/>
      </c>
      <c r="C43" s="111" t="str">
        <f t="shared" si="0"/>
        <v/>
      </c>
      <c r="D43" s="31" t="str">
        <f>IF(LINRaw!B42&gt;0,LINRaw!D42,"")</f>
        <v/>
      </c>
      <c r="E43" s="30" t="str">
        <f>'Linfit Worksheet'!F33</f>
        <v/>
      </c>
      <c r="F43" s="100"/>
      <c r="G43" s="145"/>
      <c r="H43" s="146"/>
      <c r="I43" s="146"/>
      <c r="J43" s="147"/>
      <c r="K43" s="72"/>
    </row>
    <row r="44" spans="1:12" ht="18" customHeight="1" x14ac:dyDescent="0.3">
      <c r="A44" s="76"/>
      <c r="B44" s="76"/>
      <c r="C44" s="76"/>
      <c r="D44" s="77"/>
      <c r="E44" s="77"/>
      <c r="G44" s="145"/>
      <c r="H44" s="146"/>
      <c r="I44" s="146"/>
      <c r="J44" s="147"/>
      <c r="K44" s="72"/>
    </row>
    <row r="45" spans="1:12" ht="18" hidden="1" customHeight="1" x14ac:dyDescent="0.3">
      <c r="D45" s="65"/>
      <c r="E45" s="65"/>
      <c r="G45" s="148"/>
      <c r="H45" s="146"/>
      <c r="I45" s="146"/>
      <c r="J45" s="148"/>
    </row>
    <row r="46" spans="1:12" ht="18" hidden="1" customHeight="1" x14ac:dyDescent="0.3">
      <c r="D46" s="74"/>
      <c r="E46" s="74"/>
      <c r="G46" s="148"/>
      <c r="H46" s="146"/>
      <c r="I46" s="146"/>
      <c r="J46" s="148"/>
    </row>
    <row r="47" spans="1:12" ht="18" hidden="1" customHeight="1" x14ac:dyDescent="0.3">
      <c r="D47" s="74"/>
      <c r="E47" s="74"/>
      <c r="G47" s="148"/>
      <c r="H47" s="146"/>
      <c r="I47" s="146"/>
      <c r="J47" s="148"/>
    </row>
    <row r="48" spans="1:12" ht="18" hidden="1" customHeight="1" x14ac:dyDescent="0.3">
      <c r="D48" s="74"/>
      <c r="E48" s="74"/>
      <c r="G48" s="148"/>
      <c r="H48" s="146"/>
      <c r="I48" s="146"/>
      <c r="J48" s="148"/>
    </row>
    <row r="49" spans="4:16" ht="18" hidden="1" customHeight="1" x14ac:dyDescent="0.3">
      <c r="D49" s="74"/>
      <c r="E49" s="74"/>
      <c r="G49" s="148"/>
      <c r="H49" s="146"/>
      <c r="I49" s="146"/>
      <c r="J49" s="148"/>
    </row>
    <row r="50" spans="4:16" ht="18" hidden="1" customHeight="1" x14ac:dyDescent="0.25">
      <c r="D50" s="73"/>
      <c r="E50" s="74"/>
      <c r="G50" s="148"/>
      <c r="H50" s="148"/>
      <c r="I50" s="148"/>
      <c r="J50" s="148"/>
      <c r="P50" s="87"/>
    </row>
    <row r="51" spans="4:16" ht="18" hidden="1" customHeight="1" x14ac:dyDescent="0.25">
      <c r="D51" s="74"/>
      <c r="E51" s="74"/>
    </row>
    <row r="52" spans="4:16" ht="18" hidden="1" customHeight="1" x14ac:dyDescent="0.25">
      <c r="D52" s="74"/>
      <c r="E52" s="74"/>
    </row>
    <row r="53" spans="4:16" ht="18" hidden="1" customHeight="1" x14ac:dyDescent="0.25">
      <c r="D53" s="74"/>
      <c r="E53" s="74"/>
    </row>
    <row r="54" spans="4:16" ht="18" hidden="1" customHeight="1" x14ac:dyDescent="0.25">
      <c r="D54" s="74"/>
      <c r="E54" s="74"/>
    </row>
    <row r="55" spans="4:16" hidden="1" x14ac:dyDescent="0.25">
      <c r="D55" s="74"/>
      <c r="E55" s="74"/>
    </row>
    <row r="56" spans="4:16" hidden="1" x14ac:dyDescent="0.25">
      <c r="D56" s="74"/>
      <c r="E56" s="74"/>
      <c r="F56" s="74"/>
    </row>
    <row r="57" spans="4:16" hidden="1" x14ac:dyDescent="0.25">
      <c r="D57" s="74"/>
      <c r="E57" s="74"/>
      <c r="F57" s="74"/>
    </row>
    <row r="58" spans="4:16" hidden="1" x14ac:dyDescent="0.25">
      <c r="D58" s="74"/>
      <c r="E58" s="74"/>
      <c r="F58" s="74"/>
    </row>
    <row r="59" spans="4:16" hidden="1" x14ac:dyDescent="0.25">
      <c r="D59" s="74"/>
      <c r="E59" s="74"/>
      <c r="F59" s="74"/>
    </row>
    <row r="60" spans="4:16" hidden="1" x14ac:dyDescent="0.25">
      <c r="D60" s="74"/>
      <c r="E60" s="74"/>
      <c r="F60" s="74"/>
    </row>
    <row r="61" spans="4:16" hidden="1" x14ac:dyDescent="0.25">
      <c r="D61" s="74"/>
      <c r="E61" s="74"/>
      <c r="F61" s="74"/>
    </row>
    <row r="62" spans="4:16" hidden="1" x14ac:dyDescent="0.25">
      <c r="D62" s="74"/>
      <c r="E62" s="74"/>
      <c r="F62" s="74"/>
    </row>
    <row r="63" spans="4:16" hidden="1" x14ac:dyDescent="0.25">
      <c r="D63" s="74"/>
      <c r="E63" s="74"/>
      <c r="F63" s="74"/>
    </row>
    <row r="64" spans="4:16" hidden="1" x14ac:dyDescent="0.25">
      <c r="D64" s="74"/>
      <c r="E64" s="74"/>
      <c r="F64" s="74"/>
    </row>
    <row r="65" spans="4:6" hidden="1" x14ac:dyDescent="0.25">
      <c r="D65" s="74"/>
      <c r="E65" s="74"/>
      <c r="F65" s="74"/>
    </row>
    <row r="66" spans="4:6" hidden="1" x14ac:dyDescent="0.25">
      <c r="D66" s="74"/>
      <c r="E66" s="74"/>
      <c r="F66" s="74"/>
    </row>
    <row r="67" spans="4:6" hidden="1" x14ac:dyDescent="0.25">
      <c r="D67" s="74"/>
      <c r="E67" s="74"/>
      <c r="F67" s="74"/>
    </row>
    <row r="68" spans="4:6" hidden="1" x14ac:dyDescent="0.25">
      <c r="D68" s="74"/>
      <c r="E68" s="74"/>
      <c r="F68" s="74"/>
    </row>
    <row r="69" spans="4:6" hidden="1" x14ac:dyDescent="0.25">
      <c r="D69" s="74"/>
      <c r="E69" s="74"/>
      <c r="F69" s="74"/>
    </row>
    <row r="70" spans="4:6" hidden="1" x14ac:dyDescent="0.25">
      <c r="D70" s="74"/>
      <c r="E70" s="74"/>
      <c r="F70" s="74"/>
    </row>
    <row r="71" spans="4:6" hidden="1" x14ac:dyDescent="0.25">
      <c r="D71" s="74"/>
      <c r="E71" s="74"/>
      <c r="F71" s="74"/>
    </row>
    <row r="72" spans="4:6" hidden="1" x14ac:dyDescent="0.25">
      <c r="D72" s="74"/>
      <c r="E72" s="74"/>
      <c r="F72" s="74"/>
    </row>
    <row r="73" spans="4:6" hidden="1" x14ac:dyDescent="0.25">
      <c r="D73" s="74"/>
      <c r="E73" s="74"/>
      <c r="F73" s="74"/>
    </row>
    <row r="74" spans="4:6" hidden="1" x14ac:dyDescent="0.25">
      <c r="D74" s="74"/>
      <c r="E74" s="74"/>
      <c r="F74" s="74"/>
    </row>
    <row r="75" spans="4:6" hidden="1" x14ac:dyDescent="0.25">
      <c r="D75" s="74"/>
      <c r="E75" s="74"/>
      <c r="F75" s="74"/>
    </row>
    <row r="76" spans="4:6" hidden="1" x14ac:dyDescent="0.25">
      <c r="D76" s="74"/>
      <c r="E76" s="74"/>
      <c r="F76" s="74"/>
    </row>
    <row r="77" spans="4:6" hidden="1" x14ac:dyDescent="0.25">
      <c r="D77" s="74"/>
      <c r="E77" s="74"/>
      <c r="F77" s="74"/>
    </row>
    <row r="78" spans="4:6" hidden="1" x14ac:dyDescent="0.25">
      <c r="D78" s="74"/>
      <c r="E78" s="74"/>
      <c r="F78" s="74"/>
    </row>
    <row r="79" spans="4:6" hidden="1" x14ac:dyDescent="0.25">
      <c r="F79" s="74"/>
    </row>
    <row r="80" spans="4:6" hidden="1" x14ac:dyDescent="0.25">
      <c r="F80" s="74"/>
    </row>
    <row r="81" spans="6:6" hidden="1" x14ac:dyDescent="0.25">
      <c r="F81" s="74"/>
    </row>
    <row r="82" spans="6:6" hidden="1" x14ac:dyDescent="0.25">
      <c r="F82" s="74"/>
    </row>
    <row r="83" spans="6:6" hidden="1" x14ac:dyDescent="0.25">
      <c r="F83" s="74"/>
    </row>
    <row r="84" spans="6:6" hidden="1" x14ac:dyDescent="0.25">
      <c r="F84" s="74"/>
    </row>
    <row r="85" spans="6:6" hidden="1" x14ac:dyDescent="0.25">
      <c r="F85" s="74"/>
    </row>
    <row r="86" spans="6:6" hidden="1" x14ac:dyDescent="0.25">
      <c r="F86" s="74"/>
    </row>
    <row r="87" spans="6:6" hidden="1" x14ac:dyDescent="0.25">
      <c r="F87" s="74"/>
    </row>
    <row r="88" spans="6:6" hidden="1" x14ac:dyDescent="0.25">
      <c r="F88" s="74"/>
    </row>
    <row r="89" spans="6:6" hidden="1" x14ac:dyDescent="0.25">
      <c r="F89" s="74"/>
    </row>
    <row r="90" spans="6:6" hidden="1" x14ac:dyDescent="0.25">
      <c r="F90" s="74"/>
    </row>
    <row r="91" spans="6:6" hidden="1" x14ac:dyDescent="0.25">
      <c r="F91" s="74"/>
    </row>
    <row r="92" spans="6:6" hidden="1" x14ac:dyDescent="0.25">
      <c r="F92" s="74"/>
    </row>
    <row r="93" spans="6:6" hidden="1" x14ac:dyDescent="0.25">
      <c r="F93" s="74"/>
    </row>
    <row r="94" spans="6:6" hidden="1" x14ac:dyDescent="0.25">
      <c r="F94" s="74"/>
    </row>
    <row r="95" spans="6:6" hidden="1" x14ac:dyDescent="0.25">
      <c r="F95" s="74"/>
    </row>
    <row r="96" spans="6:6" hidden="1" x14ac:dyDescent="0.25">
      <c r="F96" s="74"/>
    </row>
    <row r="97" spans="6:6" hidden="1" x14ac:dyDescent="0.25">
      <c r="F97" s="74"/>
    </row>
    <row r="98" spans="6:6" hidden="1" x14ac:dyDescent="0.25">
      <c r="F98" s="74"/>
    </row>
    <row r="99" spans="6:6" hidden="1" x14ac:dyDescent="0.25">
      <c r="F99" s="74"/>
    </row>
  </sheetData>
  <sheetProtection algorithmName="SHA-512" hashValue="7tX2wVWncn6wLsI0s34yTUwxykjE/eBscwLm8OBpXswK8k5TiZZ1jtLcxXjMjCLDVrU46le8uZnEdB6qO6R8zA==" saltValue="J4RSgk6jaO/Tfn6+KWBzkg==" spinCount="100000" sheet="1" formatCells="0" selectLockedCells="1"/>
  <mergeCells count="4">
    <mergeCell ref="A12:A13"/>
    <mergeCell ref="G12:G13"/>
    <mergeCell ref="A10:E10"/>
    <mergeCell ref="G10:K10"/>
  </mergeCells>
  <phoneticPr fontId="19" type="noConversion"/>
  <dataValidations count="3">
    <dataValidation type="list" allowBlank="1" showInputMessage="1" showErrorMessage="1" sqref="H12" xr:uid="{00000000-0002-0000-0100-000000000000}">
      <formula1>TypeOfMotion</formula1>
    </dataValidation>
    <dataValidation type="list" allowBlank="1" showInputMessage="1" showErrorMessage="1" sqref="H13" xr:uid="{00000000-0002-0000-0100-000001000000}">
      <formula1>INDIRECT($H$12)</formula1>
    </dataValidation>
    <dataValidation type="list" allowBlank="1" showInputMessage="1" showErrorMessage="1" sqref="I13" xr:uid="{00000000-0002-0000-0100-000002000000}">
      <formula1>VorI</formula1>
    </dataValidation>
  </dataValidations>
  <pageMargins left="0.24" right="0.21" top="0.54" bottom="0.55000000000000004" header="0.5" footer="0.5"/>
  <pageSetup scale="65" orientation="landscape"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ViewCert">
              <controlPr defaultSize="0" print="0" autoFill="0" autoPict="0" macro="[0]!ViewLINCert_Click">
                <anchor>
                  <from>
                    <xdr:col>0</xdr:col>
                    <xdr:colOff>182880</xdr:colOff>
                    <xdr:row>5</xdr:row>
                    <xdr:rowOff>30480</xdr:rowOff>
                  </from>
                  <to>
                    <xdr:col>1</xdr:col>
                    <xdr:colOff>906780</xdr:colOff>
                    <xdr:row>6</xdr:row>
                    <xdr:rowOff>121920</xdr:rowOff>
                  </to>
                </anchor>
              </controlPr>
            </control>
          </mc:Choice>
        </mc:AlternateContent>
        <mc:AlternateContent xmlns:mc="http://schemas.openxmlformats.org/markup-compatibility/2006">
          <mc:Choice Requires="x14">
            <control shapeId="12290" r:id="rId5" name="Button 2">
              <controlPr defaultSize="0" print="0" autoFill="0" autoPict="0" macro="[0]!ViewSLINCert_Click">
                <anchor>
                  <from>
                    <xdr:col>6</xdr:col>
                    <xdr:colOff>22860</xdr:colOff>
                    <xdr:row>6</xdr:row>
                    <xdr:rowOff>30480</xdr:rowOff>
                  </from>
                  <to>
                    <xdr:col>9</xdr:col>
                    <xdr:colOff>7620</xdr:colOff>
                    <xdr:row>7</xdr:row>
                    <xdr:rowOff>144780</xdr:rowOff>
                  </to>
                </anchor>
              </controlPr>
            </control>
          </mc:Choice>
        </mc:AlternateContent>
        <mc:AlternateContent xmlns:mc="http://schemas.openxmlformats.org/markup-compatibility/2006">
          <mc:Choice Requires="x14">
            <control shapeId="12291" r:id="rId6" name="Check Box 3">
              <controlPr locked="0" defaultSize="0" autoFill="0" autoLine="0" autoPict="0" macro="[0]!Sheet11.CheckBox30_Click">
                <anchor moveWithCells="1">
                  <from>
                    <xdr:col>1</xdr:col>
                    <xdr:colOff>838200</xdr:colOff>
                    <xdr:row>7</xdr:row>
                    <xdr:rowOff>45720</xdr:rowOff>
                  </from>
                  <to>
                    <xdr:col>1</xdr:col>
                    <xdr:colOff>1165860</xdr:colOff>
                    <xdr:row>8</xdr:row>
                    <xdr:rowOff>106680</xdr:rowOff>
                  </to>
                </anchor>
              </controlPr>
            </control>
          </mc:Choice>
        </mc:AlternateContent>
        <mc:AlternateContent xmlns:mc="http://schemas.openxmlformats.org/markup-compatibility/2006">
          <mc:Choice Requires="x14">
            <control shapeId="12292" r:id="rId7" name="Button 4">
              <controlPr defaultSize="0" print="0" autoFill="0" autoPict="0" macro="[0]!ThisWorkbook.Read9110DLIN" altText=" 1) Import Data from File">
                <anchor>
                  <from>
                    <xdr:col>0</xdr:col>
                    <xdr:colOff>182880</xdr:colOff>
                    <xdr:row>3</xdr:row>
                    <xdr:rowOff>38100</xdr:rowOff>
                  </from>
                  <to>
                    <xdr:col>1</xdr:col>
                    <xdr:colOff>906780</xdr:colOff>
                    <xdr:row>4</xdr:row>
                    <xdr:rowOff>137160</xdr:rowOff>
                  </to>
                </anchor>
              </controlPr>
            </control>
          </mc:Choice>
        </mc:AlternateContent>
        <mc:AlternateContent xmlns:mc="http://schemas.openxmlformats.org/markup-compatibility/2006">
          <mc:Choice Requires="x14">
            <control shapeId="12321" r:id="rId8" name="Button 33">
              <controlPr defaultSize="0" print="0" autoFill="0" autoPict="0" macro="[0]!Clear_LinData">
                <anchor>
                  <from>
                    <xdr:col>4</xdr:col>
                    <xdr:colOff>152400</xdr:colOff>
                    <xdr:row>9</xdr:row>
                    <xdr:rowOff>38100</xdr:rowOff>
                  </from>
                  <to>
                    <xdr:col>4</xdr:col>
                    <xdr:colOff>1211580</xdr:colOff>
                    <xdr:row>9</xdr:row>
                    <xdr:rowOff>198120</xdr:rowOff>
                  </to>
                </anchor>
              </controlPr>
            </control>
          </mc:Choice>
        </mc:AlternateContent>
        <mc:AlternateContent xmlns:mc="http://schemas.openxmlformats.org/markup-compatibility/2006">
          <mc:Choice Requires="x14">
            <control shapeId="12391" r:id="rId9" name="Button 103">
              <controlPr defaultSize="0" print="0" autoFill="0" autoPict="0" macro="[0]!Clear_SLinData">
                <anchor>
                  <from>
                    <xdr:col>10</xdr:col>
                    <xdr:colOff>259080</xdr:colOff>
                    <xdr:row>7</xdr:row>
                    <xdr:rowOff>220980</xdr:rowOff>
                  </from>
                  <to>
                    <xdr:col>10</xdr:col>
                    <xdr:colOff>1318260</xdr:colOff>
                    <xdr:row>8</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Q44"/>
  <sheetViews>
    <sheetView showGridLines="0" zoomScaleNormal="100" workbookViewId="0">
      <selection activeCell="B7" sqref="B7"/>
    </sheetView>
  </sheetViews>
  <sheetFormatPr defaultColWidth="0" defaultRowHeight="14.4" x14ac:dyDescent="0.3"/>
  <cols>
    <col min="1" max="6" width="24.6640625" customWidth="1"/>
    <col min="7" max="7" width="9.109375" customWidth="1"/>
    <col min="8" max="15" width="9.109375" hidden="1" customWidth="1"/>
    <col min="16" max="16" width="13.109375" hidden="1" customWidth="1"/>
    <col min="17" max="17" width="7.109375" hidden="1" customWidth="1"/>
    <col min="18" max="16384" width="9.109375" hidden="1"/>
  </cols>
  <sheetData>
    <row r="1" spans="1:15" ht="17.399999999999999" customHeight="1" x14ac:dyDescent="0.3">
      <c r="A1" s="64"/>
      <c r="B1" s="65"/>
      <c r="C1" s="64"/>
      <c r="D1" s="64"/>
      <c r="E1" s="65"/>
      <c r="F1" s="65"/>
    </row>
    <row r="2" spans="1:15" ht="18" customHeight="1" x14ac:dyDescent="0.3">
      <c r="A2" s="66"/>
      <c r="B2" s="64"/>
      <c r="C2" s="65"/>
      <c r="D2" s="65"/>
      <c r="E2" s="65"/>
      <c r="F2" s="65"/>
    </row>
    <row r="3" spans="1:15" ht="18.600000000000001" customHeight="1" x14ac:dyDescent="0.3">
      <c r="A3" s="66"/>
      <c r="B3" s="64"/>
      <c r="C3" s="292" t="s">
        <v>182</v>
      </c>
      <c r="D3" s="67"/>
      <c r="E3" s="65"/>
      <c r="F3" s="65"/>
      <c r="O3" s="161"/>
    </row>
    <row r="4" spans="1:15" ht="18" customHeight="1" x14ac:dyDescent="0.4">
      <c r="A4" s="68"/>
      <c r="B4" s="69"/>
      <c r="C4" s="70" t="s">
        <v>181</v>
      </c>
      <c r="D4" s="65"/>
      <c r="E4" s="65"/>
      <c r="F4" s="65"/>
    </row>
    <row r="5" spans="1:15" ht="18" customHeight="1" x14ac:dyDescent="0.4">
      <c r="A5" s="68"/>
      <c r="B5" s="69"/>
      <c r="C5" s="162" t="str">
        <f>'Linfit Worksheet'!L29</f>
        <v>Version: 3.2.4</v>
      </c>
      <c r="D5" s="65"/>
      <c r="E5" s="65"/>
      <c r="F5" s="65"/>
    </row>
    <row r="6" spans="1:15" ht="6.75" customHeight="1" x14ac:dyDescent="0.4">
      <c r="A6" s="68"/>
      <c r="B6" s="69"/>
      <c r="C6" s="162"/>
      <c r="D6" s="65"/>
      <c r="E6" s="65"/>
      <c r="F6" s="65"/>
    </row>
    <row r="7" spans="1:15" ht="18" customHeight="1" x14ac:dyDescent="0.4">
      <c r="A7" s="68"/>
      <c r="B7" s="69"/>
      <c r="C7" s="156" t="s">
        <v>185</v>
      </c>
      <c r="D7" s="302" t="s">
        <v>146</v>
      </c>
      <c r="E7" s="65"/>
      <c r="F7" s="65"/>
    </row>
    <row r="8" spans="1:15" ht="18" customHeight="1" x14ac:dyDescent="0.3">
      <c r="A8" s="154" t="s">
        <v>183</v>
      </c>
      <c r="B8" s="301"/>
      <c r="C8" s="156" t="s">
        <v>186</v>
      </c>
      <c r="D8" s="302"/>
      <c r="E8" s="156" t="s">
        <v>191</v>
      </c>
      <c r="F8" s="301"/>
    </row>
    <row r="9" spans="1:15" ht="18" customHeight="1" x14ac:dyDescent="0.3">
      <c r="A9" s="154" t="s">
        <v>184</v>
      </c>
      <c r="B9" s="301"/>
      <c r="C9" s="156" t="s">
        <v>187</v>
      </c>
      <c r="D9" s="302"/>
      <c r="E9" s="156" t="s">
        <v>190</v>
      </c>
      <c r="F9" s="301"/>
    </row>
    <row r="10" spans="1:15" ht="18" customHeight="1" x14ac:dyDescent="0.3">
      <c r="A10" s="156" t="s">
        <v>163</v>
      </c>
      <c r="B10" s="302"/>
      <c r="C10" s="156" t="s">
        <v>188</v>
      </c>
      <c r="D10" s="302"/>
      <c r="E10" s="157"/>
      <c r="F10" s="157"/>
    </row>
    <row r="11" spans="1:15" ht="18" customHeight="1" x14ac:dyDescent="0.3">
      <c r="A11" s="155" t="s">
        <v>180</v>
      </c>
      <c r="B11" s="301"/>
      <c r="C11" s="289" t="s">
        <v>189</v>
      </c>
      <c r="D11" s="302"/>
      <c r="E11" s="290"/>
      <c r="F11" s="157"/>
    </row>
    <row r="12" spans="1:15" ht="21" customHeight="1" x14ac:dyDescent="0.3">
      <c r="A12" s="70"/>
      <c r="B12" s="64"/>
      <c r="C12" s="86"/>
      <c r="D12" s="391"/>
      <c r="E12" s="392"/>
      <c r="F12" s="65"/>
    </row>
    <row r="13" spans="1:15" ht="15.6" customHeight="1" x14ac:dyDescent="0.3">
      <c r="A13" s="393" t="s">
        <v>162</v>
      </c>
      <c r="B13" s="393" t="s">
        <v>163</v>
      </c>
      <c r="C13" s="395" t="s">
        <v>180</v>
      </c>
      <c r="D13" s="395" t="s">
        <v>187</v>
      </c>
      <c r="E13" s="395" t="s">
        <v>188</v>
      </c>
    </row>
    <row r="14" spans="1:15" ht="15.6" customHeight="1" x14ac:dyDescent="0.3">
      <c r="A14" s="394"/>
      <c r="B14" s="394"/>
      <c r="C14" s="396"/>
      <c r="D14" s="396"/>
      <c r="E14" s="396"/>
    </row>
    <row r="15" spans="1:15" ht="15.6" x14ac:dyDescent="0.3">
      <c r="A15" s="158"/>
      <c r="B15" s="160"/>
      <c r="C15" s="159"/>
      <c r="D15" s="159"/>
      <c r="E15" s="159"/>
    </row>
    <row r="16" spans="1:15" ht="15.6" x14ac:dyDescent="0.3">
      <c r="A16" s="158"/>
      <c r="B16" s="160"/>
      <c r="C16" s="159"/>
      <c r="D16" s="159"/>
      <c r="E16" s="159"/>
    </row>
    <row r="17" spans="1:5" ht="15.6" x14ac:dyDescent="0.3">
      <c r="A17" s="158"/>
      <c r="B17" s="160"/>
      <c r="C17" s="159"/>
      <c r="D17" s="159"/>
      <c r="E17" s="159"/>
    </row>
    <row r="18" spans="1:5" ht="15.6" x14ac:dyDescent="0.3">
      <c r="A18" s="158"/>
      <c r="B18" s="160"/>
      <c r="C18" s="159"/>
      <c r="D18" s="159"/>
      <c r="E18" s="159"/>
    </row>
    <row r="19" spans="1:5" ht="15.6" x14ac:dyDescent="0.3">
      <c r="A19" s="158"/>
      <c r="B19" s="160"/>
      <c r="C19" s="159"/>
      <c r="D19" s="159"/>
      <c r="E19" s="159"/>
    </row>
    <row r="20" spans="1:5" ht="15.6" x14ac:dyDescent="0.3">
      <c r="A20" s="158"/>
      <c r="B20" s="160"/>
      <c r="C20" s="159"/>
      <c r="D20" s="159"/>
      <c r="E20" s="159"/>
    </row>
    <row r="21" spans="1:5" ht="15.6" x14ac:dyDescent="0.3">
      <c r="A21" s="158"/>
      <c r="B21" s="160"/>
      <c r="C21" s="159"/>
      <c r="D21" s="159"/>
      <c r="E21" s="159"/>
    </row>
    <row r="22" spans="1:5" ht="15.6" x14ac:dyDescent="0.3">
      <c r="A22" s="158"/>
      <c r="B22" s="160"/>
      <c r="C22" s="159"/>
      <c r="D22" s="159"/>
      <c r="E22" s="159"/>
    </row>
    <row r="23" spans="1:5" ht="15.6" x14ac:dyDescent="0.3">
      <c r="A23" s="158"/>
      <c r="B23" s="160"/>
      <c r="C23" s="159"/>
      <c r="D23" s="159"/>
      <c r="E23" s="159"/>
    </row>
    <row r="24" spans="1:5" ht="15.6" x14ac:dyDescent="0.3">
      <c r="A24" s="158"/>
      <c r="B24" s="160"/>
      <c r="C24" s="159"/>
      <c r="D24" s="159"/>
      <c r="E24" s="159"/>
    </row>
    <row r="25" spans="1:5" ht="15.6" x14ac:dyDescent="0.3">
      <c r="A25" s="158"/>
      <c r="B25" s="160"/>
      <c r="C25" s="159"/>
      <c r="D25" s="159"/>
      <c r="E25" s="159"/>
    </row>
    <row r="26" spans="1:5" ht="15.6" x14ac:dyDescent="0.3">
      <c r="A26" s="158"/>
      <c r="B26" s="160"/>
      <c r="C26" s="159"/>
      <c r="D26" s="159"/>
      <c r="E26" s="159"/>
    </row>
    <row r="27" spans="1:5" ht="15.6" x14ac:dyDescent="0.3">
      <c r="A27" s="158"/>
      <c r="B27" s="160"/>
      <c r="C27" s="159"/>
      <c r="D27" s="159"/>
      <c r="E27" s="159"/>
    </row>
    <row r="28" spans="1:5" ht="15.6" x14ac:dyDescent="0.3">
      <c r="A28" s="158"/>
      <c r="B28" s="160"/>
      <c r="C28" s="159"/>
      <c r="D28" s="159"/>
      <c r="E28" s="159"/>
    </row>
    <row r="29" spans="1:5" ht="15.6" x14ac:dyDescent="0.3">
      <c r="A29" s="158"/>
      <c r="B29" s="160"/>
      <c r="C29" s="159"/>
      <c r="D29" s="159"/>
      <c r="E29" s="159"/>
    </row>
    <row r="30" spans="1:5" ht="15.6" x14ac:dyDescent="0.3">
      <c r="A30" s="158"/>
      <c r="B30" s="160"/>
      <c r="C30" s="159"/>
      <c r="D30" s="159"/>
      <c r="E30" s="159"/>
    </row>
    <row r="31" spans="1:5" ht="15.6" x14ac:dyDescent="0.3">
      <c r="A31" s="158"/>
      <c r="B31" s="160"/>
      <c r="C31" s="159"/>
      <c r="D31" s="159"/>
      <c r="E31" s="159"/>
    </row>
    <row r="32" spans="1:5" ht="15.6" x14ac:dyDescent="0.3">
      <c r="A32" s="158"/>
      <c r="B32" s="160"/>
      <c r="C32" s="159"/>
      <c r="D32" s="159"/>
      <c r="E32" s="159"/>
    </row>
    <row r="33" spans="1:5" ht="15.6" x14ac:dyDescent="0.3">
      <c r="A33" s="158"/>
      <c r="B33" s="160"/>
      <c r="C33" s="159"/>
      <c r="D33" s="159"/>
      <c r="E33" s="159"/>
    </row>
    <row r="34" spans="1:5" ht="15.6" x14ac:dyDescent="0.3">
      <c r="A34" s="158"/>
      <c r="B34" s="160"/>
      <c r="C34" s="159"/>
      <c r="D34" s="159"/>
      <c r="E34" s="159"/>
    </row>
    <row r="35" spans="1:5" ht="15.6" x14ac:dyDescent="0.3">
      <c r="A35" s="158"/>
      <c r="B35" s="160"/>
      <c r="C35" s="159"/>
      <c r="D35" s="159"/>
      <c r="E35" s="159"/>
    </row>
    <row r="36" spans="1:5" ht="15.6" x14ac:dyDescent="0.3">
      <c r="A36" s="158"/>
      <c r="B36" s="160"/>
      <c r="C36" s="159"/>
      <c r="D36" s="159"/>
      <c r="E36" s="159"/>
    </row>
    <row r="37" spans="1:5" ht="15.6" x14ac:dyDescent="0.3">
      <c r="A37" s="158"/>
      <c r="B37" s="160"/>
      <c r="C37" s="159"/>
      <c r="D37" s="159"/>
      <c r="E37" s="159"/>
    </row>
    <row r="38" spans="1:5" ht="15.6" x14ac:dyDescent="0.3">
      <c r="A38" s="158"/>
      <c r="B38" s="160"/>
      <c r="C38" s="159"/>
      <c r="D38" s="159"/>
      <c r="E38" s="159"/>
    </row>
    <row r="39" spans="1:5" ht="15.6" x14ac:dyDescent="0.3">
      <c r="A39" s="158"/>
      <c r="B39" s="160"/>
      <c r="C39" s="159"/>
      <c r="D39" s="159"/>
      <c r="E39" s="159"/>
    </row>
    <row r="40" spans="1:5" ht="15.6" x14ac:dyDescent="0.3">
      <c r="A40" s="158"/>
      <c r="B40" s="160"/>
      <c r="C40" s="159"/>
      <c r="D40" s="159"/>
      <c r="E40" s="159"/>
    </row>
    <row r="41" spans="1:5" ht="15.6" x14ac:dyDescent="0.3">
      <c r="A41" s="158"/>
      <c r="B41" s="160"/>
      <c r="C41" s="159"/>
      <c r="D41" s="159"/>
      <c r="E41" s="159"/>
    </row>
    <row r="42" spans="1:5" ht="15.6" x14ac:dyDescent="0.3">
      <c r="A42" s="158"/>
      <c r="B42" s="160"/>
      <c r="C42" s="159"/>
      <c r="D42" s="159"/>
      <c r="E42" s="159"/>
    </row>
    <row r="43" spans="1:5" ht="15.6" x14ac:dyDescent="0.3">
      <c r="A43" s="158"/>
      <c r="B43" s="160"/>
      <c r="C43" s="159"/>
      <c r="D43" s="159"/>
      <c r="E43" s="159"/>
    </row>
    <row r="44" spans="1:5" ht="15.6" x14ac:dyDescent="0.3">
      <c r="A44" s="158"/>
      <c r="B44" s="160"/>
      <c r="C44" s="159"/>
      <c r="D44" s="159"/>
      <c r="E44" s="159"/>
    </row>
  </sheetData>
  <sheetProtection algorithmName="SHA-512" hashValue="Ab6k0408bdcK5USudKyhkXcG2nWbjS8lNw6GKMcVRj2YKBO96Gca+Om6EgQJnbKVAnJKwEcFu6/U53Tl7H4TZg==" saltValue="M/ofHy6OoF6VxzifzMY96w==" spinCount="100000" sheet="1" formatCells="0" selectLockedCells="1"/>
  <dataConsolidate/>
  <mergeCells count="6">
    <mergeCell ref="D12:E12"/>
    <mergeCell ref="A13:A14"/>
    <mergeCell ref="B13:B14"/>
    <mergeCell ref="C13:C14"/>
    <mergeCell ref="D13:D14"/>
    <mergeCell ref="E13:E14"/>
  </mergeCells>
  <conditionalFormatting sqref="B15:B44">
    <cfRule type="expression" dxfId="13" priority="12">
      <formula>EXACT(OFFSET(INDIRECT(ADDRESS(ROW(), COLUMN())),0,1), "um p-p")</formula>
    </cfRule>
    <cfRule type="expression" dxfId="12" priority="13">
      <formula>EXACT(OFFSET(INDIRECT(ADDRESS(ROW(), COLUMN())),0,1), "m/s2 RMS")</formula>
    </cfRule>
    <cfRule type="expression" dxfId="11" priority="14">
      <formula>EXACT(OFFSET(INDIRECT(ADDRESS(ROW(), COLUMN())),0,1), "m/s2 pk")</formula>
    </cfRule>
    <cfRule type="expression" dxfId="10" priority="15">
      <formula>EXACT(OFFSET(INDIRECT(ADDRESS(ROW(), COLUMN())),0,1), "mil p-p")</formula>
    </cfRule>
  </conditionalFormatting>
  <conditionalFormatting sqref="B10">
    <cfRule type="expression" dxfId="9" priority="16">
      <formula>EXACT($B$11, "m/s2 RMS")</formula>
    </cfRule>
    <cfRule type="expression" dxfId="8" priority="17">
      <formula>EXACT($B$11, "m/s2 pk")</formula>
    </cfRule>
    <cfRule type="expression" dxfId="7" priority="18">
      <formula>EXACT($B$11,"mil p-p")</formula>
    </cfRule>
    <cfRule type="expression" dxfId="6" priority="19">
      <formula>EXACT($B$11, "um p-p")</formula>
    </cfRule>
  </conditionalFormatting>
  <conditionalFormatting sqref="A15:E15 D16:D44">
    <cfRule type="expression" dxfId="5" priority="6">
      <formula>$D$8="Percentage"</formula>
    </cfRule>
  </conditionalFormatting>
  <conditionalFormatting sqref="D8">
    <cfRule type="expression" dxfId="4" priority="2">
      <formula>AND($D$8="Percentage",LEFT($D$7,1)="5")</formula>
    </cfRule>
  </conditionalFormatting>
  <dataValidations count="13">
    <dataValidation type="decimal" allowBlank="1" showErrorMessage="1" sqref="A16:A44" xr:uid="{00000000-0002-0000-0200-000000000000}">
      <formula1>0.7</formula1>
      <formula2>600000</formula2>
    </dataValidation>
    <dataValidation type="decimal" allowBlank="1" showInputMessage="1" showErrorMessage="1" sqref="B15:B44" xr:uid="{00000000-0002-0000-0200-000001000000}">
      <formula1>0</formula1>
      <formula2>10000</formula2>
    </dataValidation>
    <dataValidation type="decimal" showInputMessage="1" showErrorMessage="1" sqref="B10 D11" xr:uid="{00000000-0002-0000-0200-000002000000}">
      <formula1>0</formula1>
      <formula2>10000</formula2>
    </dataValidation>
    <dataValidation type="textLength" allowBlank="1" showInputMessage="1" showErrorMessage="1" prompt="10 Characters Max" sqref="F9" xr:uid="{00000000-0002-0000-0200-000003000000}">
      <formula1>0</formula1>
      <formula2>10</formula2>
    </dataValidation>
    <dataValidation type="decimal" allowBlank="1" showInputMessage="1" showErrorMessage="1" sqref="E15:E44" xr:uid="{00000000-0002-0000-0200-000004000000}">
      <formula1>0.000001</formula1>
      <formula2>20000</formula2>
    </dataValidation>
    <dataValidation type="textLength" operator="lessThanOrEqual" allowBlank="1" showInputMessage="1" showErrorMessage="1" error="10 Characters Max" prompt="10 Characters Max" sqref="B8" xr:uid="{00000000-0002-0000-0200-000005000000}">
      <formula1>10</formula1>
    </dataValidation>
    <dataValidation allowBlank="1" showInputMessage="1" showErrorMessage="1" prompt="Sensitivity Boundary" sqref="C9:C10" xr:uid="{00000000-0002-0000-0200-000006000000}"/>
    <dataValidation type="list" showInputMessage="1" showErrorMessage="1" sqref="I4:R4" xr:uid="{00000000-0002-0000-0200-000007000000}">
      <formula1>$D$2:$D$14</formula1>
    </dataValidation>
    <dataValidation type="list" showInputMessage="1" showErrorMessage="1" sqref="B11" xr:uid="{00000000-0002-0000-0200-000008000000}">
      <formula1>VibeUnits</formula1>
    </dataValidation>
    <dataValidation type="custom" showInputMessage="1" showErrorMessage="1" sqref="D9:D10" xr:uid="{00000000-0002-0000-0200-000009000000}">
      <formula1>AND(D9&gt;=IF($D$8="Percentage",-1000,0),D9&lt;1000)</formula1>
    </dataValidation>
    <dataValidation type="decimal" allowBlank="1" showErrorMessage="1" prompt="In ISO route type, this is the reference frequency. All other bounds will be based on the sensitivity derived here." sqref="A15" xr:uid="{00000000-0002-0000-0200-00000A000000}">
      <formula1>0.7</formula1>
      <formula2>600000</formula2>
    </dataValidation>
    <dataValidation type="custom" allowBlank="1" showInputMessage="1" showErrorMessage="1" sqref="D15:D44" xr:uid="{00000000-0002-0000-0200-00000B000000}">
      <formula1>AND(D15&gt;=IF($D$8="Percentage",-1000,0),D15&lt;1000)</formula1>
    </dataValidation>
    <dataValidation type="list" allowBlank="1" showErrorMessage="1" prompt="When Hard Limit, Lower and Upper Bounds are absolute sensitivity limits._x000a__x000a_When Percentage, Lower and Upper Bounds are percentage from the reference sensitivity. The first point is the reference frequency, whose bounds are from the nominal sensitivity." sqref="D7" xr:uid="{00000000-0002-0000-0200-00000C000000}">
      <formula1>PVCFWVers</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435" r:id="rId4" name="Button 51">
              <controlPr defaultSize="0" print="0" autoFill="0" autoPict="0" macro="[0]!Fill_Route_Data" altText=" 1) Import Data from File">
                <anchor>
                  <from>
                    <xdr:col>4</xdr:col>
                    <xdr:colOff>708660</xdr:colOff>
                    <xdr:row>0</xdr:row>
                    <xdr:rowOff>198120</xdr:rowOff>
                  </from>
                  <to>
                    <xdr:col>5</xdr:col>
                    <xdr:colOff>1021080</xdr:colOff>
                    <xdr:row>2</xdr:row>
                    <xdr:rowOff>76200</xdr:rowOff>
                  </to>
                </anchor>
              </controlPr>
            </control>
          </mc:Choice>
        </mc:AlternateContent>
        <mc:AlternateContent xmlns:mc="http://schemas.openxmlformats.org/markup-compatibility/2006">
          <mc:Choice Requires="x14">
            <control shapeId="16436" r:id="rId5" name="Button 52">
              <controlPr defaultSize="0" print="0" autoFill="0" autoPict="0" macro="[0]!Save_Route_File" altText=" 2) Create Route File">
                <anchor>
                  <from>
                    <xdr:col>4</xdr:col>
                    <xdr:colOff>708660</xdr:colOff>
                    <xdr:row>3</xdr:row>
                    <xdr:rowOff>60960</xdr:rowOff>
                  </from>
                  <to>
                    <xdr:col>5</xdr:col>
                    <xdr:colOff>1021080</xdr:colOff>
                    <xdr:row>4</xdr:row>
                    <xdr:rowOff>160020</xdr:rowOff>
                  </to>
                </anchor>
              </controlPr>
            </control>
          </mc:Choice>
        </mc:AlternateContent>
        <mc:AlternateContent xmlns:mc="http://schemas.openxmlformats.org/markup-compatibility/2006">
          <mc:Choice Requires="x14">
            <control shapeId="16441" r:id="rId6" name="Button 57">
              <controlPr defaultSize="0" print="0" autoFill="0" autoPict="0" macro="[0]!Reset_Route_Form">
                <anchor>
                  <from>
                    <xdr:col>5</xdr:col>
                    <xdr:colOff>312420</xdr:colOff>
                    <xdr:row>9</xdr:row>
                    <xdr:rowOff>76200</xdr:rowOff>
                  </from>
                  <to>
                    <xdr:col>5</xdr:col>
                    <xdr:colOff>1371600</xdr:colOff>
                    <xdr:row>10</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showErrorMessage="1" xr:uid="{00000000-0002-0000-0200-00000D000000}">
          <x14:formula1>
            <xm:f>RouteRaw!$D$2:$D$12</xm:f>
          </x14:formula1>
          <xm:sqref>C15:C44 B11</xm:sqref>
        </x14:dataValidation>
        <x14:dataValidation type="list" showInputMessage="1" showErrorMessage="1" xr:uid="{00000000-0002-0000-0200-00000E000000}">
          <x14:formula1>
            <xm:f>RouteRaw!$C$2:$C$6</xm:f>
          </x14:formula1>
          <xm:sqref>F8</xm:sqref>
        </x14:dataValidation>
        <x14:dataValidation type="list" showInputMessage="1" showErrorMessage="1" xr:uid="{00000000-0002-0000-0200-00000F000000}">
          <x14:formula1>
            <xm:f>RouteRaw!$B$2:$B$3</xm:f>
          </x14:formula1>
          <xm:sqref>B9</xm:sqref>
        </x14:dataValidation>
        <x14:dataValidation type="list" allowBlank="1" showErrorMessage="1" prompt="When Hard Limit, Lower and Upper Bounds are absolute sensitivity limits._x000a__x000a_When Percentage, Lower and Upper Bounds are percentage from the reference sensitivity. The first point is the reference frequency, whose bounds are from the nominal sensitivity." xr:uid="{00000000-0002-0000-0200-000010000000}">
          <x14:formula1>
            <xm:f>IF(LEFT(D7,1)="6",RouteType,'Linfit Worksheet'!AE1)</xm:f>
          </x14:formula1>
          <xm:sqref>D8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dimension ref="A1:AY52"/>
  <sheetViews>
    <sheetView showGridLines="0" zoomScaleNormal="100" workbookViewId="0">
      <selection activeCell="C5" sqref="C5"/>
    </sheetView>
  </sheetViews>
  <sheetFormatPr defaultColWidth="0" defaultRowHeight="14.4" zeroHeight="1" x14ac:dyDescent="0.3"/>
  <cols>
    <col min="1" max="1" width="3.6640625" customWidth="1"/>
    <col min="2" max="2" width="12.6640625" customWidth="1"/>
    <col min="3" max="3" width="14.6640625" customWidth="1"/>
    <col min="4" max="5" width="6.6640625" customWidth="1"/>
    <col min="6" max="8" width="12.6640625" customWidth="1"/>
    <col min="9" max="9" width="9.6640625" customWidth="1"/>
    <col min="10" max="11" width="13.6640625" customWidth="1"/>
    <col min="12" max="14" width="4.6640625" customWidth="1"/>
    <col min="15" max="15" width="6.109375" hidden="1" customWidth="1"/>
    <col min="16" max="16" width="6.88671875" hidden="1" customWidth="1"/>
    <col min="17" max="17" width="8.6640625" hidden="1" customWidth="1"/>
    <col min="18" max="51" width="4.6640625" hidden="1" customWidth="1"/>
    <col min="52" max="16384" width="9.109375" hidden="1"/>
  </cols>
  <sheetData>
    <row r="1" spans="1:42" ht="9.9" customHeight="1" x14ac:dyDescent="0.3">
      <c r="A1" s="196"/>
      <c r="B1" s="196"/>
      <c r="C1" s="196"/>
      <c r="D1" s="196"/>
      <c r="E1" s="196"/>
      <c r="F1" s="196"/>
      <c r="G1" s="196"/>
      <c r="H1" s="196"/>
      <c r="I1" s="196"/>
      <c r="J1" s="196"/>
      <c r="K1" s="196"/>
    </row>
    <row r="2" spans="1:42" ht="21" x14ac:dyDescent="0.5">
      <c r="A2" s="397" t="s">
        <v>216</v>
      </c>
      <c r="B2" s="397"/>
      <c r="C2" s="397"/>
      <c r="D2" s="397"/>
      <c r="E2" s="397"/>
      <c r="F2" s="397"/>
      <c r="G2" s="397"/>
      <c r="H2" s="397"/>
      <c r="I2" s="397"/>
      <c r="J2" s="397"/>
      <c r="K2" s="397"/>
      <c r="L2" s="397"/>
      <c r="M2" s="397"/>
    </row>
    <row r="3" spans="1:42" ht="9.75" customHeight="1" x14ac:dyDescent="0.3">
      <c r="A3" s="196"/>
      <c r="B3" s="195"/>
      <c r="C3" s="195"/>
      <c r="D3" s="195"/>
      <c r="E3" s="195"/>
      <c r="F3" s="195"/>
      <c r="G3" s="195"/>
      <c r="H3" s="195"/>
      <c r="I3" s="195"/>
      <c r="J3" s="195"/>
      <c r="K3" s="195"/>
    </row>
    <row r="4" spans="1:42" x14ac:dyDescent="0.3">
      <c r="A4" s="196"/>
      <c r="B4" s="203" t="s">
        <v>192</v>
      </c>
      <c r="D4" s="196"/>
      <c r="E4" s="203" t="s">
        <v>220</v>
      </c>
      <c r="F4" s="203"/>
      <c r="G4" s="210"/>
      <c r="H4" s="187"/>
      <c r="K4" s="196"/>
      <c r="N4" s="206"/>
      <c r="O4" s="206"/>
      <c r="P4" s="206"/>
      <c r="Q4" s="206"/>
      <c r="R4" s="206"/>
      <c r="S4" s="206"/>
      <c r="T4" s="206"/>
      <c r="U4" s="206"/>
      <c r="V4" s="206"/>
      <c r="W4" s="206"/>
      <c r="X4" s="206"/>
      <c r="Y4" s="206"/>
      <c r="Z4" s="206"/>
      <c r="AA4" s="206"/>
      <c r="AB4" s="206"/>
      <c r="AC4" s="206"/>
      <c r="AD4" s="206"/>
      <c r="AE4" s="206"/>
      <c r="AF4" s="206"/>
      <c r="AG4" s="198"/>
      <c r="AI4" s="206"/>
      <c r="AJ4" s="206"/>
      <c r="AK4" s="206"/>
      <c r="AL4" s="206"/>
      <c r="AM4" s="206"/>
      <c r="AN4" s="206"/>
      <c r="AO4" s="206"/>
      <c r="AP4" s="206"/>
    </row>
    <row r="5" spans="1:42" x14ac:dyDescent="0.3">
      <c r="A5" s="196"/>
      <c r="B5" s="205" t="s">
        <v>193</v>
      </c>
      <c r="C5" s="303"/>
      <c r="D5" s="196"/>
      <c r="E5" s="398" t="s">
        <v>198</v>
      </c>
      <c r="F5" s="398"/>
      <c r="G5" s="398"/>
      <c r="H5" s="255"/>
      <c r="K5" s="197"/>
      <c r="N5" s="196"/>
      <c r="O5" s="196"/>
      <c r="P5" s="196"/>
      <c r="Q5" s="196"/>
      <c r="S5" s="207"/>
      <c r="T5" s="207"/>
      <c r="U5" s="207"/>
      <c r="V5" s="207"/>
      <c r="W5" s="207"/>
      <c r="X5" s="207"/>
      <c r="Y5" s="207"/>
      <c r="Z5" s="207"/>
      <c r="AA5" s="207"/>
      <c r="AB5" s="207"/>
      <c r="AC5" s="207"/>
      <c r="AD5" s="207"/>
      <c r="AE5" s="207"/>
      <c r="AF5" s="207"/>
      <c r="AG5" s="199"/>
      <c r="AI5" s="196"/>
      <c r="AJ5" s="196"/>
      <c r="AK5" s="196"/>
      <c r="AL5" s="196"/>
      <c r="AN5" s="207"/>
      <c r="AO5" s="207"/>
      <c r="AP5" s="207"/>
    </row>
    <row r="6" spans="1:42" x14ac:dyDescent="0.3">
      <c r="A6" s="196"/>
      <c r="B6" s="205" t="s">
        <v>194</v>
      </c>
      <c r="C6" s="303"/>
      <c r="D6" s="196"/>
      <c r="E6" s="398" t="s">
        <v>199</v>
      </c>
      <c r="F6" s="398"/>
      <c r="G6" s="398"/>
      <c r="H6" s="304"/>
      <c r="I6" s="54"/>
      <c r="K6" s="197"/>
      <c r="N6" s="196"/>
      <c r="O6" s="196"/>
      <c r="P6" s="196"/>
      <c r="Q6" s="196"/>
      <c r="S6" s="207"/>
      <c r="T6" s="207"/>
      <c r="U6" s="207"/>
      <c r="V6" s="207"/>
      <c r="W6" s="207"/>
      <c r="X6" s="207"/>
      <c r="Y6" s="207"/>
      <c r="Z6" s="207"/>
      <c r="AA6" s="207"/>
      <c r="AB6" s="207"/>
      <c r="AC6" s="207"/>
      <c r="AD6" s="207"/>
      <c r="AE6" s="207"/>
      <c r="AF6" s="207"/>
      <c r="AG6" s="199"/>
      <c r="AI6" s="196"/>
      <c r="AJ6" s="196"/>
      <c r="AK6" s="196"/>
      <c r="AL6" s="196"/>
      <c r="AN6" s="207"/>
      <c r="AO6" s="207"/>
      <c r="AP6" s="207"/>
    </row>
    <row r="7" spans="1:42" x14ac:dyDescent="0.3">
      <c r="A7" s="196"/>
      <c r="B7" s="205" t="s">
        <v>195</v>
      </c>
      <c r="C7" s="304"/>
      <c r="D7" s="196"/>
      <c r="E7" s="398" t="s">
        <v>200</v>
      </c>
      <c r="F7" s="398"/>
      <c r="G7" s="398"/>
      <c r="H7" s="304"/>
      <c r="K7" s="197"/>
      <c r="N7" s="196"/>
      <c r="O7" s="196"/>
      <c r="P7" s="196"/>
      <c r="Q7" s="196"/>
      <c r="S7" s="207"/>
      <c r="T7" s="207"/>
      <c r="U7" s="207"/>
      <c r="V7" s="207"/>
      <c r="W7" s="207"/>
      <c r="X7" s="207"/>
      <c r="Y7" s="207"/>
      <c r="Z7" s="207"/>
      <c r="AA7" s="207"/>
      <c r="AB7" s="207"/>
      <c r="AC7" s="207"/>
      <c r="AD7" s="207"/>
      <c r="AE7" s="207"/>
      <c r="AF7" s="207"/>
      <c r="AG7" s="199"/>
      <c r="AI7" s="196"/>
      <c r="AJ7" s="196"/>
      <c r="AK7" s="196"/>
      <c r="AL7" s="196"/>
      <c r="AN7" s="207"/>
      <c r="AO7" s="207"/>
      <c r="AP7" s="207"/>
    </row>
    <row r="8" spans="1:42" x14ac:dyDescent="0.3">
      <c r="A8" s="196"/>
      <c r="B8" s="205" t="s">
        <v>196</v>
      </c>
      <c r="C8" s="303"/>
      <c r="D8" s="196"/>
      <c r="E8" s="205"/>
      <c r="F8" s="205"/>
      <c r="G8" s="205" t="s">
        <v>201</v>
      </c>
      <c r="H8" s="264"/>
      <c r="I8" s="54"/>
      <c r="K8" s="197"/>
      <c r="N8" s="196"/>
      <c r="O8" s="196"/>
      <c r="P8" s="196"/>
      <c r="Q8" s="196"/>
      <c r="S8" s="207"/>
      <c r="T8" s="207"/>
      <c r="U8" s="207"/>
      <c r="V8" s="207"/>
      <c r="W8" s="207"/>
      <c r="X8" s="207"/>
      <c r="Y8" s="207"/>
      <c r="Z8" s="207"/>
      <c r="AA8" s="207"/>
      <c r="AB8" s="207"/>
      <c r="AC8" s="207"/>
      <c r="AD8" s="207"/>
      <c r="AE8" s="207"/>
      <c r="AF8" s="207"/>
      <c r="AG8" s="199"/>
      <c r="AI8" s="196"/>
      <c r="AJ8" s="196"/>
      <c r="AK8" s="196"/>
      <c r="AL8" s="196"/>
      <c r="AN8" s="207"/>
      <c r="AO8" s="207"/>
      <c r="AP8" s="207"/>
    </row>
    <row r="9" spans="1:42" ht="15" customHeight="1" x14ac:dyDescent="0.3">
      <c r="A9" s="196"/>
      <c r="B9" s="205" t="s">
        <v>197</v>
      </c>
      <c r="C9" s="305"/>
      <c r="D9" s="196"/>
      <c r="E9" s="398" t="s">
        <v>202</v>
      </c>
      <c r="F9" s="398"/>
      <c r="G9" s="398"/>
      <c r="H9" s="304"/>
      <c r="I9" s="54"/>
      <c r="K9" s="197"/>
      <c r="N9" s="196"/>
      <c r="O9" s="196"/>
      <c r="P9" s="196"/>
      <c r="Q9" s="196"/>
      <c r="S9" s="207"/>
      <c r="T9" s="207"/>
      <c r="U9" s="207"/>
      <c r="V9" s="207"/>
      <c r="W9" s="207"/>
      <c r="X9" s="207"/>
      <c r="Y9" s="207"/>
      <c r="Z9" s="207"/>
      <c r="AA9" s="207"/>
      <c r="AB9" s="207"/>
      <c r="AC9" s="207"/>
      <c r="AD9" s="207"/>
      <c r="AE9" s="207"/>
      <c r="AF9" s="207"/>
      <c r="AG9" s="199"/>
      <c r="AI9" s="196"/>
      <c r="AJ9" s="196"/>
      <c r="AK9" s="196"/>
      <c r="AL9" s="196"/>
      <c r="AN9" s="207"/>
      <c r="AO9" s="207"/>
      <c r="AP9" s="207"/>
    </row>
    <row r="10" spans="1:42" x14ac:dyDescent="0.3">
      <c r="A10" s="196"/>
      <c r="B10" s="205" t="s">
        <v>281</v>
      </c>
      <c r="C10" s="305"/>
      <c r="D10" s="196"/>
      <c r="E10" s="398" t="s">
        <v>203</v>
      </c>
      <c r="F10" s="398"/>
      <c r="G10" s="398"/>
      <c r="H10" s="304"/>
      <c r="I10" s="54"/>
      <c r="K10" s="197"/>
      <c r="N10" s="196"/>
      <c r="O10" s="196"/>
      <c r="P10" s="196"/>
      <c r="Q10" s="196"/>
      <c r="S10" s="208"/>
      <c r="T10" s="208"/>
      <c r="U10" s="208"/>
      <c r="V10" s="208"/>
      <c r="W10" s="208"/>
      <c r="X10" s="208"/>
      <c r="Y10" s="208"/>
      <c r="Z10" s="208"/>
      <c r="AA10" s="208"/>
      <c r="AB10" s="208"/>
      <c r="AC10" s="208"/>
      <c r="AD10" s="208"/>
      <c r="AE10" s="208"/>
      <c r="AF10" s="208"/>
      <c r="AG10" s="200"/>
      <c r="AI10" s="196"/>
      <c r="AJ10" s="196"/>
      <c r="AK10" s="196"/>
      <c r="AL10" s="196"/>
      <c r="AN10" s="207"/>
      <c r="AO10" s="207"/>
      <c r="AP10" s="207"/>
    </row>
    <row r="11" spans="1:42" x14ac:dyDescent="0.3">
      <c r="A11" s="196"/>
      <c r="D11" s="196"/>
      <c r="E11" s="398" t="s">
        <v>204</v>
      </c>
      <c r="F11" s="398"/>
      <c r="G11" s="398"/>
      <c r="H11" s="204"/>
      <c r="I11" s="54"/>
      <c r="K11" s="197"/>
      <c r="N11" s="196"/>
      <c r="O11" s="196"/>
      <c r="P11" s="196"/>
      <c r="Q11" s="196"/>
      <c r="S11" s="208"/>
      <c r="T11" s="208"/>
      <c r="U11" s="208"/>
      <c r="V11" s="208"/>
      <c r="W11" s="208"/>
      <c r="X11" s="208"/>
      <c r="Y11" s="208"/>
      <c r="Z11" s="208"/>
      <c r="AA11" s="208"/>
      <c r="AB11" s="208"/>
      <c r="AC11" s="208"/>
      <c r="AD11" s="208"/>
      <c r="AE11" s="208"/>
      <c r="AF11" s="208"/>
      <c r="AG11" s="200"/>
      <c r="AI11" s="196"/>
      <c r="AJ11" s="196"/>
      <c r="AK11" s="196"/>
      <c r="AL11" s="196"/>
      <c r="AN11" s="207"/>
      <c r="AO11" s="207"/>
      <c r="AP11" s="207"/>
    </row>
    <row r="12" spans="1:42" x14ac:dyDescent="0.3">
      <c r="A12" s="196"/>
      <c r="B12" s="213"/>
      <c r="C12" s="208"/>
      <c r="D12" s="196"/>
      <c r="E12" s="398" t="s">
        <v>205</v>
      </c>
      <c r="F12" s="398"/>
      <c r="G12" s="398"/>
      <c r="H12" s="304"/>
      <c r="K12" s="197"/>
      <c r="N12" s="196"/>
      <c r="O12" s="196"/>
      <c r="P12" s="196"/>
      <c r="Q12" s="196"/>
      <c r="S12" s="208"/>
      <c r="T12" s="208"/>
      <c r="U12" s="208"/>
      <c r="V12" s="208"/>
      <c r="W12" s="208"/>
      <c r="X12" s="208"/>
      <c r="Y12" s="208"/>
      <c r="Z12" s="208"/>
      <c r="AA12" s="208"/>
      <c r="AB12" s="208"/>
      <c r="AC12" s="208"/>
      <c r="AD12" s="208"/>
      <c r="AE12" s="208"/>
      <c r="AF12" s="208"/>
      <c r="AG12" s="200"/>
      <c r="AI12" s="196"/>
      <c r="AJ12" s="196"/>
      <c r="AK12" s="196"/>
      <c r="AL12" s="196"/>
      <c r="AN12" s="207"/>
      <c r="AO12" s="207"/>
      <c r="AP12" s="207"/>
    </row>
    <row r="13" spans="1:42" ht="15" customHeight="1" x14ac:dyDescent="0.3">
      <c r="A13" s="196"/>
      <c r="B13" s="196"/>
      <c r="C13" s="196"/>
      <c r="D13" s="196"/>
      <c r="E13" s="262"/>
      <c r="F13" s="262"/>
      <c r="G13" s="205" t="s">
        <v>206</v>
      </c>
      <c r="H13" s="265"/>
      <c r="I13" s="196"/>
      <c r="J13" s="196"/>
      <c r="K13" s="196"/>
    </row>
    <row r="14" spans="1:42" x14ac:dyDescent="0.3">
      <c r="A14" s="196"/>
      <c r="B14" s="206" t="s">
        <v>207</v>
      </c>
      <c r="C14" s="206"/>
      <c r="D14" s="206"/>
      <c r="E14" s="206"/>
      <c r="F14" s="206"/>
      <c r="G14" s="206"/>
      <c r="H14" s="206"/>
      <c r="I14" s="206"/>
      <c r="J14" s="206"/>
      <c r="K14" s="206"/>
    </row>
    <row r="15" spans="1:42" s="215" customFormat="1" ht="20.399999999999999" x14ac:dyDescent="0.3">
      <c r="A15" s="214"/>
      <c r="B15" s="216" t="s">
        <v>208</v>
      </c>
      <c r="C15" s="216" t="s">
        <v>209</v>
      </c>
      <c r="D15" s="399" t="s">
        <v>210</v>
      </c>
      <c r="E15" s="399"/>
      <c r="F15" s="216" t="s">
        <v>211</v>
      </c>
      <c r="G15" s="216" t="s">
        <v>222</v>
      </c>
      <c r="H15" s="216" t="s">
        <v>212</v>
      </c>
      <c r="I15" s="216" t="s">
        <v>213</v>
      </c>
      <c r="J15" s="216" t="s">
        <v>212</v>
      </c>
      <c r="K15" s="216" t="s">
        <v>214</v>
      </c>
      <c r="L15" s="399" t="s">
        <v>215</v>
      </c>
      <c r="M15" s="399"/>
    </row>
    <row r="16" spans="1:42" x14ac:dyDescent="0.3">
      <c r="A16" s="196"/>
      <c r="B16" s="217" t="s">
        <v>225</v>
      </c>
      <c r="C16" s="306"/>
      <c r="D16" s="401"/>
      <c r="E16" s="401"/>
      <c r="F16" s="307"/>
      <c r="G16" s="308"/>
      <c r="H16" s="223" t="s">
        <v>131</v>
      </c>
      <c r="I16" s="308"/>
      <c r="J16" s="223" t="s">
        <v>131</v>
      </c>
      <c r="K16" s="266">
        <v>0.03</v>
      </c>
      <c r="L16" s="400" t="str">
        <f>IF(OR(G16="",I16=""),"",I16/G16-1)</f>
        <v/>
      </c>
      <c r="M16" s="400"/>
      <c r="O16" s="222"/>
      <c r="P16" s="222"/>
    </row>
    <row r="17" spans="1:16" x14ac:dyDescent="0.3">
      <c r="A17" s="196"/>
      <c r="B17" s="217" t="s">
        <v>226</v>
      </c>
      <c r="C17" s="306"/>
      <c r="D17" s="401"/>
      <c r="E17" s="401"/>
      <c r="F17" s="307"/>
      <c r="G17" s="308"/>
      <c r="H17" s="309" t="s">
        <v>131</v>
      </c>
      <c r="I17" s="308"/>
      <c r="J17" s="309" t="s">
        <v>131</v>
      </c>
      <c r="K17" s="310">
        <v>0.05</v>
      </c>
      <c r="L17" s="400" t="str">
        <f>IF(OR(G17="",I17=""),"",I17/G17-1)</f>
        <v/>
      </c>
      <c r="M17" s="400"/>
      <c r="O17" s="222"/>
      <c r="P17" s="222"/>
    </row>
    <row r="18" spans="1:16" x14ac:dyDescent="0.3">
      <c r="A18" s="196"/>
      <c r="B18" s="217" t="s">
        <v>227</v>
      </c>
      <c r="C18" s="306"/>
      <c r="D18" s="401"/>
      <c r="E18" s="401"/>
      <c r="F18" s="307"/>
      <c r="G18" s="218"/>
      <c r="H18" s="219"/>
      <c r="I18" s="219"/>
      <c r="J18" s="219"/>
      <c r="K18" s="219"/>
      <c r="L18" s="219"/>
      <c r="M18" s="220"/>
    </row>
    <row r="19" spans="1:16" ht="15" customHeight="1" thickBot="1" x14ac:dyDescent="0.35">
      <c r="A19" s="196"/>
      <c r="B19" s="198"/>
      <c r="C19" s="201"/>
      <c r="D19" s="201"/>
      <c r="E19" s="201"/>
      <c r="F19" s="201"/>
      <c r="G19" s="201"/>
      <c r="H19" s="201"/>
      <c r="I19" s="229"/>
      <c r="J19" s="229"/>
      <c r="K19" s="211"/>
      <c r="L19" s="211"/>
    </row>
    <row r="20" spans="1:16" ht="15.9" hidden="1" customHeight="1" x14ac:dyDescent="0.3">
      <c r="A20" s="196"/>
      <c r="D20" s="221"/>
      <c r="E20" s="209"/>
      <c r="F20" s="209"/>
      <c r="H20" s="221"/>
      <c r="I20" s="196"/>
      <c r="K20" s="212"/>
    </row>
    <row r="21" spans="1:16" ht="15" hidden="1" customHeight="1" x14ac:dyDescent="0.3">
      <c r="A21" s="196"/>
      <c r="G21">
        <v>0.75</v>
      </c>
    </row>
    <row r="22" spans="1:16" ht="17.100000000000001" hidden="1" customHeight="1" x14ac:dyDescent="0.3">
      <c r="A22" s="196"/>
      <c r="C22">
        <v>1</v>
      </c>
      <c r="D22" s="201"/>
      <c r="E22" s="201"/>
      <c r="G22">
        <v>1</v>
      </c>
      <c r="K22" s="196"/>
    </row>
    <row r="23" spans="1:16" ht="17.100000000000001" hidden="1" customHeight="1" x14ac:dyDescent="0.3">
      <c r="A23" s="196"/>
      <c r="B23" s="196"/>
      <c r="C23" s="259"/>
      <c r="D23" s="201"/>
      <c r="E23" s="201"/>
      <c r="F23" s="201"/>
      <c r="H23" s="196"/>
      <c r="I23" s="207"/>
      <c r="K23" s="196"/>
    </row>
    <row r="24" spans="1:16" ht="15" customHeight="1" x14ac:dyDescent="0.3">
      <c r="A24" s="405" t="s">
        <v>170</v>
      </c>
      <c r="B24" s="407" t="s">
        <v>221</v>
      </c>
      <c r="C24" s="407"/>
      <c r="D24" s="403" t="s">
        <v>223</v>
      </c>
      <c r="E24" s="403"/>
      <c r="F24" s="403"/>
      <c r="G24" s="403" t="s">
        <v>224</v>
      </c>
      <c r="H24" s="404"/>
      <c r="I24" s="196"/>
      <c r="J24" s="281" t="s">
        <v>280</v>
      </c>
      <c r="K24" s="282"/>
    </row>
    <row r="25" spans="1:16" ht="15" customHeight="1" x14ac:dyDescent="0.3">
      <c r="A25" s="406"/>
      <c r="B25" s="274" t="s">
        <v>163</v>
      </c>
      <c r="C25" s="274" t="s">
        <v>162</v>
      </c>
      <c r="D25" s="408" t="s">
        <v>163</v>
      </c>
      <c r="E25" s="408"/>
      <c r="F25" s="274" t="s">
        <v>162</v>
      </c>
      <c r="G25" s="274" t="s">
        <v>163</v>
      </c>
      <c r="H25" s="275" t="s">
        <v>162</v>
      </c>
      <c r="I25" s="246"/>
      <c r="J25" s="283" t="s">
        <v>217</v>
      </c>
      <c r="K25" s="315"/>
    </row>
    <row r="26" spans="1:16" x14ac:dyDescent="0.3">
      <c r="A26" s="276">
        <v>1</v>
      </c>
      <c r="B26" s="311"/>
      <c r="C26" s="313"/>
      <c r="D26" s="402"/>
      <c r="E26" s="402"/>
      <c r="F26" s="313"/>
      <c r="G26" s="261" t="str">
        <f>IF(OR(B26="",D26=""),"",(D26/B26-1)*100)</f>
        <v/>
      </c>
      <c r="H26" s="277" t="str">
        <f>IF(OR(C26="",F26=""),"",(F26/C26-1)*100)</f>
        <v/>
      </c>
      <c r="J26" s="283" t="s">
        <v>201</v>
      </c>
      <c r="K26" s="284"/>
    </row>
    <row r="27" spans="1:16" x14ac:dyDescent="0.3">
      <c r="A27" s="276">
        <v>2</v>
      </c>
      <c r="B27" s="311"/>
      <c r="C27" s="313"/>
      <c r="D27" s="402"/>
      <c r="E27" s="402"/>
      <c r="F27" s="313"/>
      <c r="G27" s="261" t="str">
        <f t="shared" ref="G27:G35" si="0">IF(OR(B27="",D27=""),"",(D27/B27-1)*100)</f>
        <v/>
      </c>
      <c r="H27" s="277" t="str">
        <f t="shared" ref="H27:H35" si="1">IF(OR(C27="",F27=""),"",(F27/C27-1)*100)</f>
        <v/>
      </c>
      <c r="J27" s="285"/>
      <c r="K27" s="286"/>
    </row>
    <row r="28" spans="1:16" x14ac:dyDescent="0.3">
      <c r="A28" s="276">
        <v>3</v>
      </c>
      <c r="B28" s="311"/>
      <c r="C28" s="313"/>
      <c r="D28" s="402"/>
      <c r="E28" s="402"/>
      <c r="F28" s="313"/>
      <c r="G28" s="261" t="str">
        <f t="shared" si="0"/>
        <v/>
      </c>
      <c r="H28" s="277" t="str">
        <f t="shared" si="1"/>
        <v/>
      </c>
      <c r="J28" s="283" t="s">
        <v>218</v>
      </c>
      <c r="K28" s="316"/>
    </row>
    <row r="29" spans="1:16" ht="15" thickBot="1" x14ac:dyDescent="0.35">
      <c r="A29" s="276">
        <v>4</v>
      </c>
      <c r="B29" s="311"/>
      <c r="C29" s="313"/>
      <c r="D29" s="402"/>
      <c r="E29" s="402"/>
      <c r="F29" s="313"/>
      <c r="G29" s="261" t="str">
        <f t="shared" si="0"/>
        <v/>
      </c>
      <c r="H29" s="277" t="str">
        <f t="shared" si="1"/>
        <v/>
      </c>
      <c r="J29" s="287" t="s">
        <v>219</v>
      </c>
      <c r="K29" s="288"/>
    </row>
    <row r="30" spans="1:16" x14ac:dyDescent="0.3">
      <c r="A30" s="276">
        <v>5</v>
      </c>
      <c r="B30" s="311"/>
      <c r="C30" s="313"/>
      <c r="D30" s="402"/>
      <c r="E30" s="402"/>
      <c r="F30" s="313"/>
      <c r="G30" s="261" t="str">
        <f t="shared" si="0"/>
        <v/>
      </c>
      <c r="H30" s="277" t="str">
        <f t="shared" si="1"/>
        <v/>
      </c>
      <c r="J30" s="201"/>
      <c r="K30" s="263"/>
    </row>
    <row r="31" spans="1:16" x14ac:dyDescent="0.3">
      <c r="A31" s="276">
        <v>6</v>
      </c>
      <c r="B31" s="311"/>
      <c r="C31" s="313"/>
      <c r="D31" s="402"/>
      <c r="E31" s="402"/>
      <c r="F31" s="313"/>
      <c r="G31" s="261" t="str">
        <f t="shared" si="0"/>
        <v/>
      </c>
      <c r="H31" s="277" t="str">
        <f t="shared" si="1"/>
        <v/>
      </c>
      <c r="J31" s="201"/>
      <c r="K31" s="263"/>
    </row>
    <row r="32" spans="1:16" x14ac:dyDescent="0.3">
      <c r="A32" s="276">
        <v>7</v>
      </c>
      <c r="B32" s="311"/>
      <c r="C32" s="313"/>
      <c r="D32" s="402"/>
      <c r="E32" s="402"/>
      <c r="F32" s="313"/>
      <c r="G32" s="261" t="str">
        <f t="shared" si="0"/>
        <v/>
      </c>
      <c r="H32" s="277" t="str">
        <f t="shared" si="1"/>
        <v/>
      </c>
      <c r="J32" s="201"/>
      <c r="K32" s="263"/>
    </row>
    <row r="33" spans="1:11" x14ac:dyDescent="0.3">
      <c r="A33" s="276">
        <v>8</v>
      </c>
      <c r="B33" s="311"/>
      <c r="C33" s="313"/>
      <c r="D33" s="402"/>
      <c r="E33" s="402"/>
      <c r="F33" s="313"/>
      <c r="G33" s="261" t="str">
        <f t="shared" si="0"/>
        <v/>
      </c>
      <c r="H33" s="277" t="str">
        <f t="shared" si="1"/>
        <v/>
      </c>
      <c r="J33" s="201"/>
      <c r="K33" s="263"/>
    </row>
    <row r="34" spans="1:11" x14ac:dyDescent="0.3">
      <c r="A34" s="276">
        <v>9</v>
      </c>
      <c r="B34" s="311"/>
      <c r="C34" s="313"/>
      <c r="D34" s="402"/>
      <c r="E34" s="402"/>
      <c r="F34" s="313"/>
      <c r="G34" s="261" t="str">
        <f t="shared" si="0"/>
        <v/>
      </c>
      <c r="H34" s="277" t="str">
        <f t="shared" si="1"/>
        <v/>
      </c>
      <c r="J34" s="201"/>
      <c r="K34" s="263"/>
    </row>
    <row r="35" spans="1:11" x14ac:dyDescent="0.3">
      <c r="A35" s="276">
        <v>10</v>
      </c>
      <c r="B35" s="311"/>
      <c r="C35" s="313"/>
      <c r="D35" s="402"/>
      <c r="E35" s="402"/>
      <c r="F35" s="313"/>
      <c r="G35" s="261" t="str">
        <f t="shared" si="0"/>
        <v/>
      </c>
      <c r="H35" s="277" t="str">
        <f t="shared" si="1"/>
        <v/>
      </c>
      <c r="J35" s="201"/>
      <c r="K35" s="263"/>
    </row>
    <row r="36" spans="1:11" x14ac:dyDescent="0.3">
      <c r="A36" s="276">
        <v>11</v>
      </c>
      <c r="B36" s="311"/>
      <c r="C36" s="313"/>
      <c r="D36" s="402"/>
      <c r="E36" s="402"/>
      <c r="F36" s="313"/>
      <c r="G36" s="261" t="str">
        <f t="shared" ref="G36:G40" si="2">IF(OR(B36="",D36=""),"",(D36/B36-1)*100)</f>
        <v/>
      </c>
      <c r="H36" s="277" t="str">
        <f t="shared" ref="H36:H40" si="3">IF(OR(C36="",F36=""),"",(F36/C36-1)*100)</f>
        <v/>
      </c>
      <c r="I36" s="199"/>
      <c r="J36" s="199"/>
      <c r="K36" s="202" t="str">
        <f>IF(OR(I36="",J36=""),"",#REF!/#REF!-1)</f>
        <v/>
      </c>
    </row>
    <row r="37" spans="1:11" x14ac:dyDescent="0.3">
      <c r="A37" s="276">
        <v>12</v>
      </c>
      <c r="B37" s="311"/>
      <c r="C37" s="313"/>
      <c r="D37" s="402"/>
      <c r="E37" s="402"/>
      <c r="F37" s="313"/>
      <c r="G37" s="261" t="str">
        <f t="shared" si="2"/>
        <v/>
      </c>
      <c r="H37" s="277" t="str">
        <f t="shared" si="3"/>
        <v/>
      </c>
      <c r="I37" s="196"/>
      <c r="J37" s="196"/>
      <c r="K37" s="196"/>
    </row>
    <row r="38" spans="1:11" x14ac:dyDescent="0.3">
      <c r="A38" s="276">
        <v>13</v>
      </c>
      <c r="B38" s="311"/>
      <c r="C38" s="313"/>
      <c r="D38" s="402"/>
      <c r="E38" s="402"/>
      <c r="F38" s="313"/>
      <c r="G38" s="261" t="str">
        <f t="shared" si="2"/>
        <v/>
      </c>
      <c r="H38" s="277" t="str">
        <f t="shared" si="3"/>
        <v/>
      </c>
      <c r="I38" s="196"/>
      <c r="J38" s="196"/>
      <c r="K38" s="196"/>
    </row>
    <row r="39" spans="1:11" x14ac:dyDescent="0.3">
      <c r="A39" s="276">
        <v>14</v>
      </c>
      <c r="B39" s="311"/>
      <c r="C39" s="313"/>
      <c r="D39" s="402"/>
      <c r="E39" s="402"/>
      <c r="F39" s="313"/>
      <c r="G39" s="261" t="str">
        <f t="shared" si="2"/>
        <v/>
      </c>
      <c r="H39" s="277" t="str">
        <f t="shared" si="3"/>
        <v/>
      </c>
      <c r="I39" s="196"/>
      <c r="J39" s="196"/>
      <c r="K39" s="196"/>
    </row>
    <row r="40" spans="1:11" ht="15" thickBot="1" x14ac:dyDescent="0.35">
      <c r="A40" s="278">
        <v>15</v>
      </c>
      <c r="B40" s="312"/>
      <c r="C40" s="314"/>
      <c r="D40" s="409"/>
      <c r="E40" s="409"/>
      <c r="F40" s="314"/>
      <c r="G40" s="279" t="str">
        <f t="shared" si="2"/>
        <v/>
      </c>
      <c r="H40" s="280" t="str">
        <f t="shared" si="3"/>
        <v/>
      </c>
      <c r="I40" s="196"/>
      <c r="J40" s="196"/>
      <c r="K40" s="196"/>
    </row>
    <row r="41" spans="1:11" x14ac:dyDescent="0.3">
      <c r="A41" s="196"/>
      <c r="B41" s="196"/>
      <c r="C41" s="196"/>
      <c r="D41" s="196"/>
      <c r="E41" s="196"/>
      <c r="F41" s="196"/>
      <c r="G41" s="196"/>
      <c r="H41" s="196"/>
      <c r="I41" s="196"/>
      <c r="J41" s="196"/>
      <c r="K41" s="196"/>
    </row>
    <row r="42" spans="1:11" x14ac:dyDescent="0.3">
      <c r="A42" s="196"/>
      <c r="B42" s="196"/>
      <c r="C42" s="196"/>
      <c r="D42" s="196"/>
      <c r="E42" s="196"/>
      <c r="F42" s="196"/>
      <c r="G42" s="196"/>
      <c r="H42" s="196"/>
      <c r="I42" s="196"/>
      <c r="J42" s="196"/>
      <c r="K42" s="196"/>
    </row>
    <row r="43" spans="1:11" x14ac:dyDescent="0.3">
      <c r="A43" s="196"/>
      <c r="B43" s="196"/>
      <c r="C43" s="196"/>
      <c r="D43" s="196"/>
      <c r="E43" s="196"/>
      <c r="F43" s="196"/>
      <c r="G43" s="196"/>
      <c r="H43" s="196"/>
      <c r="I43" s="196"/>
      <c r="J43" s="196"/>
      <c r="K43" s="196"/>
    </row>
    <row r="44" spans="1:11" x14ac:dyDescent="0.3">
      <c r="A44" s="196"/>
      <c r="B44" s="196"/>
      <c r="C44" s="196"/>
      <c r="D44" s="196"/>
      <c r="E44" s="196"/>
      <c r="F44" s="196"/>
      <c r="G44" s="196"/>
      <c r="H44" s="196"/>
      <c r="I44" s="196"/>
      <c r="J44" s="196"/>
      <c r="K44" s="196"/>
    </row>
    <row r="45" spans="1:11" x14ac:dyDescent="0.3">
      <c r="A45" s="196"/>
      <c r="B45" s="196"/>
      <c r="C45" s="196"/>
      <c r="D45" s="196"/>
      <c r="E45" s="196"/>
      <c r="F45" s="196"/>
      <c r="G45" s="196"/>
      <c r="H45" s="196"/>
      <c r="I45" s="196"/>
      <c r="J45" s="196"/>
      <c r="K45" s="196"/>
    </row>
    <row r="46" spans="1:11" x14ac:dyDescent="0.3">
      <c r="A46" s="196"/>
      <c r="B46" s="196"/>
      <c r="C46" s="196"/>
      <c r="D46" s="196"/>
      <c r="E46" s="196"/>
      <c r="F46" s="196"/>
      <c r="G46" s="196"/>
      <c r="H46" s="196"/>
      <c r="I46" s="196"/>
      <c r="J46" s="196"/>
      <c r="K46" s="196"/>
    </row>
    <row r="47" spans="1:11" x14ac:dyDescent="0.3">
      <c r="A47" s="196"/>
      <c r="B47" s="196"/>
      <c r="C47" s="196"/>
      <c r="D47" s="196"/>
      <c r="E47" s="196"/>
      <c r="F47" s="196"/>
      <c r="G47" s="196"/>
      <c r="H47" s="196"/>
      <c r="I47" s="196"/>
      <c r="J47" s="196"/>
      <c r="K47" s="196"/>
    </row>
    <row r="48" spans="1:11" x14ac:dyDescent="0.3">
      <c r="A48" s="196"/>
      <c r="B48" s="196"/>
      <c r="C48" s="196"/>
      <c r="D48" s="196"/>
      <c r="E48" s="196"/>
      <c r="F48" s="196"/>
      <c r="G48" s="196"/>
      <c r="H48" s="196"/>
      <c r="I48" s="196"/>
      <c r="J48" s="196"/>
      <c r="K48" s="196"/>
    </row>
    <row r="49" spans="1:11" hidden="1" x14ac:dyDescent="0.3">
      <c r="A49" s="196"/>
      <c r="B49" s="196"/>
      <c r="C49" s="196"/>
      <c r="D49" s="196"/>
      <c r="E49" s="196"/>
      <c r="F49" s="196"/>
      <c r="G49" s="196"/>
      <c r="H49" s="196"/>
      <c r="I49" s="196"/>
      <c r="J49" s="196"/>
      <c r="K49" s="196"/>
    </row>
    <row r="50" spans="1:11" hidden="1" x14ac:dyDescent="0.3">
      <c r="A50" s="196"/>
      <c r="B50" s="196"/>
      <c r="C50" s="196"/>
      <c r="D50" s="196"/>
      <c r="E50" s="196"/>
      <c r="F50" s="196"/>
      <c r="G50" s="196"/>
      <c r="H50" s="196"/>
      <c r="I50" s="196"/>
      <c r="J50" s="196"/>
      <c r="K50" s="196"/>
    </row>
    <row r="51" spans="1:11" hidden="1" x14ac:dyDescent="0.3">
      <c r="A51" s="196"/>
      <c r="B51" s="196"/>
      <c r="C51" s="196"/>
      <c r="D51" s="196"/>
      <c r="E51" s="196"/>
      <c r="F51" s="196"/>
      <c r="G51" s="196"/>
      <c r="H51" s="196"/>
      <c r="I51" s="196"/>
      <c r="J51" s="196"/>
      <c r="K51" s="196"/>
    </row>
    <row r="52" spans="1:11" hidden="1" x14ac:dyDescent="0.3">
      <c r="A52" s="196"/>
      <c r="B52" s="196"/>
      <c r="C52" s="196"/>
      <c r="D52" s="196"/>
      <c r="E52" s="196"/>
      <c r="F52" s="196"/>
      <c r="G52" s="196"/>
      <c r="H52" s="196"/>
      <c r="I52" s="196"/>
      <c r="J52" s="196"/>
      <c r="K52" s="196"/>
    </row>
  </sheetData>
  <sheetProtection algorithmName="SHA-512" hashValue="pABUZpy93V8PS9BUnYQ6vnV4wOWPdGAZEstt2tZHR2eyBEuZYRUYr2SDIfc/+Nz0fjzoeaYZUZ0PH+uGbCNjeg==" saltValue="9stOUh3si2VBPuWT0VVf8Q==" spinCount="100000" sheet="1" selectLockedCells="1"/>
  <dataConsolidate/>
  <mergeCells count="35">
    <mergeCell ref="D36:E36"/>
    <mergeCell ref="D37:E37"/>
    <mergeCell ref="D38:E38"/>
    <mergeCell ref="D39:E39"/>
    <mergeCell ref="D40:E40"/>
    <mergeCell ref="D34:E34"/>
    <mergeCell ref="D35:E35"/>
    <mergeCell ref="G24:H24"/>
    <mergeCell ref="A24:A25"/>
    <mergeCell ref="D28:E28"/>
    <mergeCell ref="D29:E29"/>
    <mergeCell ref="D30:E30"/>
    <mergeCell ref="D31:E31"/>
    <mergeCell ref="D32:E32"/>
    <mergeCell ref="B24:C24"/>
    <mergeCell ref="D24:F24"/>
    <mergeCell ref="D25:E25"/>
    <mergeCell ref="D26:E26"/>
    <mergeCell ref="D27:E27"/>
    <mergeCell ref="L16:M16"/>
    <mergeCell ref="L17:M17"/>
    <mergeCell ref="E10:G10"/>
    <mergeCell ref="D18:E18"/>
    <mergeCell ref="D33:E33"/>
    <mergeCell ref="D16:E16"/>
    <mergeCell ref="E12:G12"/>
    <mergeCell ref="E11:G11"/>
    <mergeCell ref="D17:E17"/>
    <mergeCell ref="A2:M2"/>
    <mergeCell ref="E7:G7"/>
    <mergeCell ref="E6:G6"/>
    <mergeCell ref="E5:G5"/>
    <mergeCell ref="D15:E15"/>
    <mergeCell ref="E9:G9"/>
    <mergeCell ref="L15:M15"/>
  </mergeCells>
  <conditionalFormatting sqref="L16:M16">
    <cfRule type="containsBlanks" priority="4" stopIfTrue="1">
      <formula>LEN(TRIM(L16))=0</formula>
    </cfRule>
    <cfRule type="expression" dxfId="3" priority="5" stopIfTrue="1">
      <formula>ABS($L$16)&gt;$K$16</formula>
    </cfRule>
    <cfRule type="expression" dxfId="2" priority="6" stopIfTrue="1">
      <formula>ABS($L$16)&lt;=$K$16</formula>
    </cfRule>
  </conditionalFormatting>
  <conditionalFormatting sqref="L17:M17">
    <cfRule type="expression" dxfId="1" priority="1" stopIfTrue="1">
      <formula>ABS($L$17)&gt;$K$17</formula>
    </cfRule>
    <cfRule type="expression" dxfId="0" priority="2" stopIfTrue="1">
      <formula>ABS($L$17)&lt;=$K$17</formula>
    </cfRule>
    <cfRule type="containsBlanks" priority="3" stopIfTrue="1">
      <formula>LEN(TRIM(L17))=0</formula>
    </cfRule>
  </conditionalFormatting>
  <dataValidations count="3">
    <dataValidation type="decimal" operator="greaterThanOrEqual" allowBlank="1" showInputMessage="1" showErrorMessage="1" sqref="K25 K28 H6:H7 F26:F40 I36:J36 B26:D40 J27 J30:J35" xr:uid="{00000000-0002-0000-0300-000000000000}">
      <formula1>0</formula1>
    </dataValidation>
    <dataValidation type="whole" operator="greaterThanOrEqual" allowBlank="1" showInputMessage="1" showErrorMessage="1" sqref="H9:H10" xr:uid="{00000000-0002-0000-0300-000001000000}">
      <formula1>1</formula1>
    </dataValidation>
    <dataValidation type="decimal" operator="greaterThan" allowBlank="1" showInputMessage="1" showErrorMessage="1" sqref="H12" xr:uid="{00000000-0002-0000-0300-000002000000}">
      <formula1>0</formula1>
    </dataValidation>
  </dataValidations>
  <printOptions horizontalCentered="1"/>
  <pageMargins left="0.25" right="0.25" top="0.5" bottom="0.5" header="0.05" footer="0.05"/>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4" r:id="rId4" name="MIN_FREQ">
              <controlPr defaultSize="0" autoLine="0" autoPict="0">
                <anchor>
                  <from>
                    <xdr:col>7</xdr:col>
                    <xdr:colOff>7620</xdr:colOff>
                    <xdr:row>7</xdr:row>
                    <xdr:rowOff>7620</xdr:rowOff>
                  </from>
                  <to>
                    <xdr:col>8</xdr:col>
                    <xdr:colOff>182880</xdr:colOff>
                    <xdr:row>8</xdr:row>
                    <xdr:rowOff>0</xdr:rowOff>
                  </to>
                </anchor>
              </controlPr>
            </control>
          </mc:Choice>
        </mc:AlternateContent>
        <mc:AlternateContent xmlns:mc="http://schemas.openxmlformats.org/markup-compatibility/2006">
          <mc:Choice Requires="x14">
            <control shapeId="28675" r:id="rId5" name="LT_FREQ_UNIT">
              <controlPr defaultSize="0" autoLine="0" autoPict="0">
                <anchor>
                  <from>
                    <xdr:col>10</xdr:col>
                    <xdr:colOff>0</xdr:colOff>
                    <xdr:row>24</xdr:row>
                    <xdr:rowOff>182880</xdr:rowOff>
                  </from>
                  <to>
                    <xdr:col>10</xdr:col>
                    <xdr:colOff>899160</xdr:colOff>
                    <xdr:row>26</xdr:row>
                    <xdr:rowOff>7620</xdr:rowOff>
                  </to>
                </anchor>
              </controlPr>
            </control>
          </mc:Choice>
        </mc:AlternateContent>
        <mc:AlternateContent xmlns:mc="http://schemas.openxmlformats.org/markup-compatibility/2006">
          <mc:Choice Requires="x14">
            <control shapeId="28677" r:id="rId6" name="FR_AMPL_UNIT">
              <controlPr defaultSize="0" autoLine="0" autoPict="0">
                <anchor>
                  <from>
                    <xdr:col>10</xdr:col>
                    <xdr:colOff>0</xdr:colOff>
                    <xdr:row>27</xdr:row>
                    <xdr:rowOff>175260</xdr:rowOff>
                  </from>
                  <to>
                    <xdr:col>10</xdr:col>
                    <xdr:colOff>899160</xdr:colOff>
                    <xdr:row>28</xdr:row>
                    <xdr:rowOff>182880</xdr:rowOff>
                  </to>
                </anchor>
              </controlPr>
            </control>
          </mc:Choice>
        </mc:AlternateContent>
        <mc:AlternateContent xmlns:mc="http://schemas.openxmlformats.org/markup-compatibility/2006">
          <mc:Choice Requires="x14">
            <control shapeId="28679" r:id="rId7" name="WINDOW_TYPE">
              <controlPr defaultSize="0" autoLine="0" autoPict="0">
                <anchor>
                  <from>
                    <xdr:col>7</xdr:col>
                    <xdr:colOff>7620</xdr:colOff>
                    <xdr:row>10</xdr:row>
                    <xdr:rowOff>7620</xdr:rowOff>
                  </from>
                  <to>
                    <xdr:col>8</xdr:col>
                    <xdr:colOff>182880</xdr:colOff>
                    <xdr:row>11</xdr:row>
                    <xdr:rowOff>0</xdr:rowOff>
                  </to>
                </anchor>
              </controlPr>
            </control>
          </mc:Choice>
        </mc:AlternateContent>
        <mc:AlternateContent xmlns:mc="http://schemas.openxmlformats.org/markup-compatibility/2006">
          <mc:Choice Requires="x14">
            <control shapeId="28680" r:id="rId8" name="U_SENS">
              <controlPr defaultSize="0" autoLine="0" autoPict="0">
                <anchor>
                  <from>
                    <xdr:col>7</xdr:col>
                    <xdr:colOff>7620</xdr:colOff>
                    <xdr:row>12</xdr:row>
                    <xdr:rowOff>7620</xdr:rowOff>
                  </from>
                  <to>
                    <xdr:col>8</xdr:col>
                    <xdr:colOff>182880</xdr:colOff>
                    <xdr:row>12</xdr:row>
                    <xdr:rowOff>190500</xdr:rowOff>
                  </to>
                </anchor>
              </controlPr>
            </control>
          </mc:Choice>
        </mc:AlternateContent>
        <mc:AlternateContent xmlns:mc="http://schemas.openxmlformats.org/markup-compatibility/2006">
          <mc:Choice Requires="x14">
            <control shapeId="28681" r:id="rId9" name="P_LTC">
              <controlPr defaultSize="0" print="0" autoFill="0" autoPict="0" macro="[0]!Print_Vibe_Cert">
                <anchor>
                  <from>
                    <xdr:col>10</xdr:col>
                    <xdr:colOff>137160</xdr:colOff>
                    <xdr:row>3</xdr:row>
                    <xdr:rowOff>38100</xdr:rowOff>
                  </from>
                  <to>
                    <xdr:col>12</xdr:col>
                    <xdr:colOff>281940</xdr:colOff>
                    <xdr:row>5</xdr:row>
                    <xdr:rowOff>114300</xdr:rowOff>
                  </to>
                </anchor>
              </controlPr>
            </control>
          </mc:Choice>
        </mc:AlternateContent>
        <mc:AlternateContent xmlns:mc="http://schemas.openxmlformats.org/markup-compatibility/2006">
          <mc:Choice Requires="x14">
            <control shapeId="28682" r:id="rId10" name="P_FTC">
              <controlPr defaultSize="0" print="0" autoFill="0" autoPict="0" macro="[0]!Print_Vib_FRTest">
                <anchor>
                  <from>
                    <xdr:col>10</xdr:col>
                    <xdr:colOff>137160</xdr:colOff>
                    <xdr:row>6</xdr:row>
                    <xdr:rowOff>15240</xdr:rowOff>
                  </from>
                  <to>
                    <xdr:col>12</xdr:col>
                    <xdr:colOff>281940</xdr:colOff>
                    <xdr:row>8</xdr:row>
                    <xdr:rowOff>91440</xdr:rowOff>
                  </to>
                </anchor>
              </controlPr>
            </control>
          </mc:Choice>
        </mc:AlternateContent>
        <mc:AlternateContent xmlns:mc="http://schemas.openxmlformats.org/markup-compatibility/2006">
          <mc:Choice Requires="x14">
            <control shapeId="28683" r:id="rId11" name="RESET">
              <controlPr defaultSize="0" print="0" autoFill="0" autoPict="0" macro="[0]!Reset_VibeCal">
                <anchor>
                  <from>
                    <xdr:col>10</xdr:col>
                    <xdr:colOff>137160</xdr:colOff>
                    <xdr:row>9</xdr:row>
                    <xdr:rowOff>7620</xdr:rowOff>
                  </from>
                  <to>
                    <xdr:col>12</xdr:col>
                    <xdr:colOff>281940</xdr:colOff>
                    <xdr:row>10</xdr:row>
                    <xdr:rowOff>91440</xdr:rowOff>
                  </to>
                </anchor>
              </controlPr>
            </control>
          </mc:Choice>
        </mc:AlternateContent>
        <mc:AlternateContent xmlns:mc="http://schemas.openxmlformats.org/markup-compatibility/2006">
          <mc:Choice Requires="x14">
            <control shapeId="28685" r:id="rId12" name="LOAD_FREQ_TR">
              <controlPr defaultSize="0" print="0" autoFill="0" autoPict="0" macro="[0]!Load_FRTest_Route">
                <anchor>
                  <from>
                    <xdr:col>8</xdr:col>
                    <xdr:colOff>464820</xdr:colOff>
                    <xdr:row>24</xdr:row>
                    <xdr:rowOff>15240</xdr:rowOff>
                  </from>
                  <to>
                    <xdr:col>9</xdr:col>
                    <xdr:colOff>746760</xdr:colOff>
                    <xdr:row>26</xdr:row>
                    <xdr:rowOff>106680</xdr:rowOff>
                  </to>
                </anchor>
              </controlPr>
            </control>
          </mc:Choice>
        </mc:AlternateContent>
        <mc:AlternateContent xmlns:mc="http://schemas.openxmlformats.org/markup-compatibility/2006">
          <mc:Choice Requires="x14">
            <control shapeId="28689" r:id="rId13" name="ANALYZER_MODE">
              <controlPr defaultSize="0" autoLine="0" autoPict="0">
                <anchor>
                  <from>
                    <xdr:col>7</xdr:col>
                    <xdr:colOff>7620</xdr:colOff>
                    <xdr:row>4</xdr:row>
                    <xdr:rowOff>7620</xdr:rowOff>
                  </from>
                  <to>
                    <xdr:col>8</xdr:col>
                    <xdr:colOff>182880</xdr:colOff>
                    <xdr:row>4</xdr:row>
                    <xdr:rowOff>182880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L60"/>
  <sheetViews>
    <sheetView topLeftCell="A22" zoomScaleNormal="100" workbookViewId="0">
      <selection activeCell="K29" sqref="K29"/>
    </sheetView>
  </sheetViews>
  <sheetFormatPr defaultColWidth="0" defaultRowHeight="13.2" zeroHeight="1" x14ac:dyDescent="0.25"/>
  <cols>
    <col min="1" max="1" width="1.44140625" style="1" customWidth="1"/>
    <col min="2" max="2" width="13.109375" style="1" customWidth="1"/>
    <col min="3" max="3" width="9.109375" style="1" customWidth="1"/>
    <col min="4" max="4" width="6.44140625" style="1" customWidth="1"/>
    <col min="5" max="5" width="16.109375" style="1" customWidth="1"/>
    <col min="6" max="6" width="9.88671875" style="1" customWidth="1"/>
    <col min="7" max="7" width="7.5546875" style="1" customWidth="1"/>
    <col min="8" max="8" width="10" style="1" customWidth="1"/>
    <col min="9" max="9" width="7.109375" style="1" customWidth="1"/>
    <col min="10" max="10" width="10.6640625" style="1" bestFit="1" customWidth="1"/>
    <col min="11" max="11" width="15.5546875" style="1" customWidth="1"/>
    <col min="12" max="12" width="9.6640625" style="1" customWidth="1"/>
    <col min="13" max="13" width="9.109375" style="1" customWidth="1"/>
    <col min="14" max="16384" width="0" style="1" hidden="1"/>
  </cols>
  <sheetData>
    <row r="1" spans="1:12" x14ac:dyDescent="0.25">
      <c r="A1" s="191"/>
      <c r="B1" s="188"/>
      <c r="C1" s="188"/>
      <c r="D1" s="188"/>
      <c r="E1" s="188"/>
      <c r="F1" s="188"/>
      <c r="G1" s="188"/>
      <c r="H1" s="188"/>
      <c r="I1" s="188"/>
      <c r="J1" s="188"/>
      <c r="K1" s="188"/>
      <c r="L1" s="192"/>
    </row>
    <row r="2" spans="1:12" ht="21" x14ac:dyDescent="0.5">
      <c r="A2" s="189"/>
      <c r="B2" s="412" t="s">
        <v>255</v>
      </c>
      <c r="C2" s="412"/>
      <c r="D2" s="412"/>
      <c r="E2" s="412"/>
      <c r="F2" s="412"/>
      <c r="G2" s="412"/>
      <c r="H2" s="412"/>
      <c r="I2" s="412"/>
      <c r="J2" s="412"/>
      <c r="K2" s="412"/>
      <c r="L2" s="413"/>
    </row>
    <row r="3" spans="1:12" ht="10.5" customHeight="1" x14ac:dyDescent="0.4">
      <c r="A3" s="189"/>
      <c r="B3" s="193"/>
      <c r="C3" s="193"/>
      <c r="D3" s="193"/>
      <c r="E3" s="193"/>
      <c r="F3" s="193"/>
      <c r="G3" s="193"/>
      <c r="H3" s="193"/>
      <c r="I3" s="193"/>
      <c r="J3" s="193"/>
      <c r="K3" s="193"/>
      <c r="L3" s="194"/>
    </row>
    <row r="4" spans="1:12" s="2" customFormat="1" ht="18" customHeight="1" x14ac:dyDescent="0.25">
      <c r="A4" s="35"/>
      <c r="B4" s="2" t="s">
        <v>231</v>
      </c>
      <c r="E4" s="2" t="s">
        <v>232</v>
      </c>
      <c r="I4" s="2" t="s">
        <v>233</v>
      </c>
      <c r="L4" s="36"/>
    </row>
    <row r="5" spans="1:12" ht="15.9" customHeight="1" x14ac:dyDescent="0.25">
      <c r="A5" s="4"/>
      <c r="B5" s="1" t="s">
        <v>209</v>
      </c>
      <c r="C5" s="362" t="str">
        <f>IF(FRRaw!A5&lt;&gt;"",FRRaw!A5,"")</f>
        <v/>
      </c>
      <c r="D5" s="417"/>
      <c r="E5" s="414" t="e">
        <f>"Sensitivity @ "&amp;VLOOKUP(FRData!B8,FRData!A13:A42,1)&amp;" "&amp;FRData!B9&amp;":"</f>
        <v>#N/A</v>
      </c>
      <c r="F5" s="415"/>
      <c r="G5" s="126" t="e">
        <f>VLOOKUP(FRData!B8,FRData!A13:D42,3)</f>
        <v>#N/A</v>
      </c>
      <c r="H5" s="37">
        <f>FRData!C12</f>
        <v>0</v>
      </c>
      <c r="I5" s="52" t="s">
        <v>264</v>
      </c>
      <c r="J5" s="52"/>
      <c r="K5" s="55"/>
      <c r="L5" s="38" t="s">
        <v>24</v>
      </c>
    </row>
    <row r="6" spans="1:12" ht="15.9" customHeight="1" x14ac:dyDescent="0.25">
      <c r="A6" s="4"/>
      <c r="B6" s="1" t="s">
        <v>210</v>
      </c>
      <c r="C6" s="362" t="str">
        <f>IF(FRRaw!B5&lt;&gt;"",FRRaw!B5,"")</f>
        <v/>
      </c>
      <c r="D6" s="417"/>
      <c r="E6" s="1" t="s">
        <v>234</v>
      </c>
      <c r="G6" s="8" t="e">
        <f>FIXED(VLOOKUP(FRData!B8,FRData!A13:D42,2),2)</f>
        <v>#N/A</v>
      </c>
      <c r="H6" s="1" t="str">
        <f>FRData!B12</f>
        <v/>
      </c>
      <c r="I6" s="52" t="s">
        <v>235</v>
      </c>
      <c r="J6" s="52"/>
      <c r="K6" s="55"/>
      <c r="L6" s="38" t="s">
        <v>24</v>
      </c>
    </row>
    <row r="7" spans="1:12" ht="15.9" customHeight="1" x14ac:dyDescent="0.25">
      <c r="A7" s="4"/>
      <c r="B7" s="1" t="s">
        <v>228</v>
      </c>
      <c r="C7" s="362"/>
      <c r="D7" s="416"/>
      <c r="E7" s="1" t="str">
        <f>IF(FRRaw!I12,"Inline Charge Amp","")</f>
        <v/>
      </c>
      <c r="I7" s="52" t="s">
        <v>236</v>
      </c>
      <c r="J7" s="52"/>
      <c r="K7" s="55"/>
      <c r="L7" s="38" t="s">
        <v>6</v>
      </c>
    </row>
    <row r="8" spans="1:12" ht="15.9" customHeight="1" x14ac:dyDescent="0.25">
      <c r="A8" s="4"/>
      <c r="B8" s="1" t="s">
        <v>229</v>
      </c>
      <c r="C8" s="362"/>
      <c r="D8" s="416"/>
      <c r="E8" s="1" t="str">
        <f>IF(FRRaw!I12,"Sensitivity:","")</f>
        <v/>
      </c>
      <c r="G8" s="8" t="str">
        <f>IF(FRRaw!I12,FRData!D8,"")</f>
        <v/>
      </c>
      <c r="H8" s="1" t="str">
        <f>IF(FRRaw!I12,"mV/pC","")</f>
        <v/>
      </c>
      <c r="I8" s="52" t="s">
        <v>237</v>
      </c>
      <c r="J8" s="52"/>
      <c r="K8" s="56"/>
      <c r="L8" s="180" t="s">
        <v>33</v>
      </c>
    </row>
    <row r="9" spans="1:12" ht="15.9" customHeight="1" x14ac:dyDescent="0.3">
      <c r="A9" s="4"/>
      <c r="B9" s="1" t="s">
        <v>230</v>
      </c>
      <c r="C9" s="362"/>
      <c r="D9" s="416"/>
      <c r="E9" s="354"/>
      <c r="F9" s="354"/>
      <c r="I9" s="52" t="str">
        <f>IF(FRRaw!C5&lt;&gt;"","Axis:","")</f>
        <v/>
      </c>
      <c r="J9" s="52"/>
      <c r="K9" s="55" t="str">
        <f>IF(FRRaw!C5&lt;&gt;"",FRRaw!C5,"")</f>
        <v/>
      </c>
      <c r="L9" s="57"/>
    </row>
    <row r="10" spans="1:12" ht="14.4" x14ac:dyDescent="0.3">
      <c r="A10" s="4"/>
      <c r="C10" s="347"/>
      <c r="D10" s="411"/>
      <c r="E10" s="6"/>
      <c r="F10" s="6"/>
      <c r="L10" s="38"/>
    </row>
    <row r="11" spans="1:12" ht="13.5" customHeight="1" x14ac:dyDescent="0.3">
      <c r="A11" s="4"/>
      <c r="B11" s="347"/>
      <c r="C11" s="411"/>
      <c r="D11" s="411"/>
      <c r="E11" s="49"/>
      <c r="F11" s="333"/>
      <c r="G11" s="414"/>
      <c r="H11" s="48"/>
      <c r="I11" s="48"/>
      <c r="J11" s="48"/>
      <c r="L11" s="38"/>
    </row>
    <row r="12" spans="1:12" ht="14.4" x14ac:dyDescent="0.3">
      <c r="A12" s="4"/>
      <c r="B12" s="410"/>
      <c r="C12" s="411"/>
      <c r="D12" s="411"/>
      <c r="F12" s="347"/>
      <c r="G12" s="414"/>
      <c r="H12" s="8"/>
      <c r="I12" s="8"/>
      <c r="J12" s="7"/>
      <c r="L12" s="38"/>
    </row>
    <row r="13" spans="1:12" ht="14.4" x14ac:dyDescent="0.3">
      <c r="A13" s="4"/>
      <c r="B13" s="410"/>
      <c r="C13" s="411"/>
      <c r="D13" s="411"/>
      <c r="F13" s="347"/>
      <c r="G13" s="414"/>
      <c r="H13" s="8"/>
      <c r="I13" s="8"/>
      <c r="J13" s="7"/>
      <c r="L13" s="38"/>
    </row>
    <row r="14" spans="1:12" x14ac:dyDescent="0.25">
      <c r="A14" s="4"/>
      <c r="B14" s="2"/>
      <c r="F14" s="347"/>
      <c r="G14" s="414"/>
      <c r="H14" s="8"/>
      <c r="I14" s="8"/>
      <c r="J14" s="7"/>
      <c r="L14" s="38"/>
    </row>
    <row r="15" spans="1:12" x14ac:dyDescent="0.25">
      <c r="A15" s="4"/>
      <c r="B15" s="34"/>
      <c r="L15" s="38"/>
    </row>
    <row r="16" spans="1:12" ht="13.8" x14ac:dyDescent="0.25">
      <c r="A16" s="4"/>
      <c r="B16" s="34"/>
      <c r="E16" s="6" t="s">
        <v>9</v>
      </c>
      <c r="F16" s="6"/>
      <c r="L16" s="38"/>
    </row>
    <row r="17" spans="1:12" ht="13.8" x14ac:dyDescent="0.3">
      <c r="A17" s="4"/>
      <c r="E17" s="422" t="s">
        <v>12</v>
      </c>
      <c r="F17" s="424" t="e">
        <f>VLOOKUP(FRData!C8,FRData!A13:D21,3,0.01)</f>
        <v>#N/A</v>
      </c>
      <c r="G17" s="426"/>
      <c r="H17" s="32">
        <f>FRData!C12</f>
        <v>0</v>
      </c>
      <c r="I17" s="9"/>
      <c r="J17" s="10"/>
      <c r="L17" s="38"/>
    </row>
    <row r="18" spans="1:12" ht="13.8" x14ac:dyDescent="0.3">
      <c r="A18" s="4"/>
      <c r="E18" s="423"/>
      <c r="F18" s="424"/>
      <c r="G18" s="414"/>
      <c r="H18" s="11"/>
      <c r="L18" s="38"/>
    </row>
    <row r="19" spans="1:12" ht="14.4" x14ac:dyDescent="0.3">
      <c r="A19" s="4"/>
      <c r="E19" s="8" t="s">
        <v>13</v>
      </c>
      <c r="F19" s="424">
        <f>FRData!C8</f>
        <v>0</v>
      </c>
      <c r="G19" s="425"/>
      <c r="H19" s="11" t="s">
        <v>6</v>
      </c>
      <c r="L19" s="38"/>
    </row>
    <row r="20" spans="1:12" x14ac:dyDescent="0.25">
      <c r="A20" s="4"/>
      <c r="F20" s="8"/>
      <c r="L20" s="38"/>
    </row>
    <row r="21" spans="1:12" x14ac:dyDescent="0.25">
      <c r="A21" s="4"/>
      <c r="L21" s="38"/>
    </row>
    <row r="22" spans="1:12" x14ac:dyDescent="0.25">
      <c r="A22" s="4"/>
      <c r="L22" s="38"/>
    </row>
    <row r="23" spans="1:12" x14ac:dyDescent="0.25">
      <c r="A23" s="4"/>
      <c r="L23" s="38"/>
    </row>
    <row r="24" spans="1:12" x14ac:dyDescent="0.25">
      <c r="A24" s="4"/>
      <c r="E24" s="40"/>
      <c r="F24" s="40"/>
      <c r="G24" s="40"/>
      <c r="H24" s="40"/>
      <c r="I24" s="40"/>
      <c r="J24" s="40"/>
      <c r="L24" s="38"/>
    </row>
    <row r="25" spans="1:12" x14ac:dyDescent="0.25">
      <c r="A25" s="4"/>
      <c r="B25" s="420"/>
      <c r="C25" s="420"/>
      <c r="D25" s="420"/>
      <c r="E25" s="420"/>
      <c r="F25" s="420"/>
      <c r="G25" s="420"/>
      <c r="H25" s="420"/>
      <c r="I25" s="420"/>
      <c r="J25" s="420"/>
      <c r="K25" s="420"/>
      <c r="L25" s="421"/>
    </row>
    <row r="26" spans="1:12" ht="18" customHeight="1" thickBot="1" x14ac:dyDescent="0.3">
      <c r="A26" s="4"/>
      <c r="B26" s="2" t="s">
        <v>266</v>
      </c>
      <c r="L26" s="5"/>
    </row>
    <row r="27" spans="1:12" ht="24" customHeight="1" x14ac:dyDescent="0.25">
      <c r="A27" s="4"/>
      <c r="B27" s="44" t="str">
        <f>"频率 ("&amp;FRData!B9&amp;")"</f>
        <v>频率 ()</v>
      </c>
      <c r="C27" s="45" t="s">
        <v>238</v>
      </c>
      <c r="E27" s="2" t="s">
        <v>274</v>
      </c>
      <c r="L27" s="5"/>
    </row>
    <row r="28" spans="1:12" ht="15" customHeight="1" x14ac:dyDescent="0.3">
      <c r="A28" s="4"/>
      <c r="B28" s="46">
        <v>100</v>
      </c>
      <c r="C28" s="107">
        <v>2</v>
      </c>
      <c r="E28" s="58" t="s">
        <v>239</v>
      </c>
      <c r="F28" s="52"/>
      <c r="G28" s="52"/>
      <c r="H28" s="52"/>
      <c r="I28" s="52"/>
      <c r="J28" s="52"/>
      <c r="K28" s="52"/>
      <c r="L28" s="5"/>
    </row>
    <row r="29" spans="1:12" ht="15" customHeight="1" x14ac:dyDescent="0.3">
      <c r="A29" s="4"/>
      <c r="B29" s="46">
        <v>200</v>
      </c>
      <c r="C29" s="107">
        <v>3</v>
      </c>
      <c r="E29" s="58" t="s">
        <v>240</v>
      </c>
      <c r="F29" s="52"/>
      <c r="G29" s="52"/>
      <c r="H29" s="52"/>
      <c r="I29" s="52"/>
      <c r="J29" s="52"/>
      <c r="K29" s="52"/>
      <c r="L29" s="5"/>
    </row>
    <row r="30" spans="1:12" ht="15" customHeight="1" x14ac:dyDescent="0.3">
      <c r="A30" s="4"/>
      <c r="B30" s="46">
        <v>300</v>
      </c>
      <c r="C30" s="107">
        <v>4</v>
      </c>
      <c r="E30" s="11" t="str">
        <f>IF(FRRaw!A6="", "","Traceable to "&amp; FRRaw!$A$6 &amp; IF(FRRaw!B6="", "", " and " &amp; FRRaw!$B$6))</f>
        <v/>
      </c>
      <c r="F30" s="52"/>
      <c r="G30" s="52"/>
      <c r="H30" s="52"/>
      <c r="I30" s="52"/>
      <c r="J30" s="52"/>
      <c r="K30" s="52"/>
      <c r="L30" s="5"/>
    </row>
    <row r="31" spans="1:12" ht="15" customHeight="1" x14ac:dyDescent="0.3">
      <c r="A31" s="4"/>
      <c r="B31" s="46">
        <v>400</v>
      </c>
      <c r="C31" s="107">
        <v>5</v>
      </c>
      <c r="E31" s="11" t="s">
        <v>241</v>
      </c>
      <c r="F31" s="52"/>
      <c r="G31" s="52"/>
      <c r="H31" s="52"/>
      <c r="I31" s="52"/>
      <c r="J31" s="52"/>
      <c r="K31" s="52"/>
      <c r="L31" s="5"/>
    </row>
    <row r="32" spans="1:12" ht="15" customHeight="1" x14ac:dyDescent="0.3">
      <c r="A32" s="4"/>
      <c r="B32" s="46" t="str">
        <f>IF(FRData!A17&lt;&gt;"",FRData!A17,"")</f>
        <v/>
      </c>
      <c r="C32" s="107" t="str">
        <f>IF(FRData!A17&lt;&gt;"",FRData!D17,"")</f>
        <v/>
      </c>
      <c r="E32" s="58" t="s">
        <v>242</v>
      </c>
      <c r="F32" s="52"/>
      <c r="G32" s="52"/>
      <c r="H32" s="52"/>
      <c r="I32" s="52"/>
      <c r="J32" s="52"/>
      <c r="K32" s="52"/>
      <c r="L32" s="5"/>
    </row>
    <row r="33" spans="1:12" ht="15" customHeight="1" x14ac:dyDescent="0.25">
      <c r="A33" s="4"/>
      <c r="B33" s="46" t="str">
        <f>IF(FRData!A18&lt;&gt;"",FRData!A18,"")</f>
        <v/>
      </c>
      <c r="C33" s="107" t="str">
        <f>IF(FRData!A18&lt;&gt;"",FRData!D18,"")</f>
        <v/>
      </c>
      <c r="E33" s="52"/>
      <c r="F33" s="52"/>
      <c r="G33" s="52"/>
      <c r="H33" s="52"/>
      <c r="I33" s="52"/>
      <c r="J33" s="52"/>
      <c r="K33" s="52"/>
      <c r="L33" s="5"/>
    </row>
    <row r="34" spans="1:12" ht="15" customHeight="1" x14ac:dyDescent="0.25">
      <c r="A34" s="4"/>
      <c r="B34" s="46" t="str">
        <f>IF(FRData!A19&lt;&gt;"",FRData!A19,"")</f>
        <v/>
      </c>
      <c r="C34" s="107" t="str">
        <f>IF(FRData!A19&lt;&gt;"",FRData!D19,"")</f>
        <v/>
      </c>
      <c r="E34" s="52"/>
      <c r="F34" s="52"/>
      <c r="G34" s="52"/>
      <c r="H34" s="52"/>
      <c r="I34" s="52"/>
      <c r="J34" s="52"/>
      <c r="K34" s="52"/>
      <c r="L34" s="5"/>
    </row>
    <row r="35" spans="1:12" ht="15" customHeight="1" x14ac:dyDescent="0.25">
      <c r="A35" s="4"/>
      <c r="B35" s="46" t="str">
        <f>IF(FRData!A20&lt;&gt;"",FRData!A20,"")</f>
        <v/>
      </c>
      <c r="C35" s="107" t="str">
        <f>IF(FRData!A20&lt;&gt;"",FRData!D20,"")</f>
        <v/>
      </c>
      <c r="L35" s="5"/>
    </row>
    <row r="36" spans="1:12" ht="15" customHeight="1" x14ac:dyDescent="0.3">
      <c r="A36" s="4"/>
      <c r="B36" s="46" t="str">
        <f>IF(FRData!A21&lt;&gt;"",FRData!A21,"")</f>
        <v/>
      </c>
      <c r="C36" s="107" t="str">
        <f>IF(FRData!A21&lt;&gt;"",FRData!D21,"")</f>
        <v/>
      </c>
      <c r="E36" s="2" t="s">
        <v>243</v>
      </c>
      <c r="F36" s="418" t="str">
        <f>IF(FRRaw!$D$5="","",FRRaw!$D$5)</f>
        <v/>
      </c>
      <c r="G36" s="418"/>
      <c r="H36" s="418"/>
      <c r="I36" s="418"/>
      <c r="J36" s="418"/>
      <c r="K36" s="418"/>
      <c r="L36" s="419"/>
    </row>
    <row r="37" spans="1:12" ht="15" customHeight="1" x14ac:dyDescent="0.3">
      <c r="A37" s="4"/>
      <c r="B37" s="46" t="str">
        <f>IF(FRData!A22&lt;&gt;"",FRData!A22,"")</f>
        <v/>
      </c>
      <c r="C37" s="107" t="str">
        <f>IF(FRData!A22&lt;&gt;"",FRData!D22,"")</f>
        <v/>
      </c>
      <c r="E37" s="59"/>
      <c r="F37" s="418"/>
      <c r="G37" s="418"/>
      <c r="H37" s="418"/>
      <c r="I37" s="418"/>
      <c r="J37" s="418"/>
      <c r="K37" s="418"/>
      <c r="L37" s="419"/>
    </row>
    <row r="38" spans="1:12" ht="15" customHeight="1" x14ac:dyDescent="0.3">
      <c r="A38" s="4"/>
      <c r="B38" s="46" t="str">
        <f>IF(FRData!A23&lt;&gt;"",FRData!A23,"")</f>
        <v/>
      </c>
      <c r="C38" s="107" t="str">
        <f>IF(FRData!A23&lt;&gt;"",FRData!D23,"")</f>
        <v/>
      </c>
      <c r="E38" s="59"/>
      <c r="F38" s="418"/>
      <c r="G38" s="418"/>
      <c r="H38" s="418"/>
      <c r="I38" s="418"/>
      <c r="J38" s="418"/>
      <c r="K38" s="418"/>
      <c r="L38" s="419"/>
    </row>
    <row r="39" spans="1:12" ht="15" customHeight="1" x14ac:dyDescent="0.3">
      <c r="A39" s="4"/>
      <c r="B39" s="46" t="str">
        <f>IF(FRData!A24&lt;&gt;"",FRData!A24,"")</f>
        <v/>
      </c>
      <c r="C39" s="107" t="str">
        <f>IF(FRData!A24&lt;&gt;"",FRData!D24,"")</f>
        <v/>
      </c>
      <c r="E39" s="52"/>
      <c r="F39" s="418"/>
      <c r="G39" s="418"/>
      <c r="H39" s="418"/>
      <c r="I39" s="418"/>
      <c r="J39" s="418"/>
      <c r="K39" s="418"/>
      <c r="L39" s="419"/>
    </row>
    <row r="40" spans="1:12" ht="15" customHeight="1" x14ac:dyDescent="0.3">
      <c r="A40" s="4"/>
      <c r="B40" s="46" t="str">
        <f>IF(FRData!A25&lt;&gt;"",FRData!A25,"")</f>
        <v/>
      </c>
      <c r="C40" s="107" t="str">
        <f>IF(FRData!A25&lt;&gt;"",FRData!D25,"")</f>
        <v/>
      </c>
      <c r="E40" s="52"/>
      <c r="F40" s="418"/>
      <c r="G40" s="418"/>
      <c r="H40" s="418"/>
      <c r="I40" s="418"/>
      <c r="J40" s="418"/>
      <c r="K40" s="418"/>
      <c r="L40" s="419"/>
    </row>
    <row r="41" spans="1:12" ht="15" customHeight="1" x14ac:dyDescent="0.3">
      <c r="A41" s="4"/>
      <c r="B41" s="46" t="str">
        <f>IF(FRData!A26&lt;&gt;"",FRData!A26,"")</f>
        <v/>
      </c>
      <c r="C41" s="107" t="str">
        <f>IF(FRData!A26&lt;&gt;"",FRData!D26,"")</f>
        <v/>
      </c>
      <c r="E41" s="2" t="s">
        <v>244</v>
      </c>
      <c r="F41" s="418"/>
      <c r="G41" s="418"/>
      <c r="H41" s="418"/>
      <c r="I41" s="418"/>
      <c r="J41" s="418"/>
      <c r="K41" s="418"/>
      <c r="L41" s="419"/>
    </row>
    <row r="42" spans="1:12" ht="15" customHeight="1" x14ac:dyDescent="0.3">
      <c r="A42" s="4"/>
      <c r="B42" s="46" t="str">
        <f>IF(FRData!A27&lt;&gt;"",FRData!A27,"")</f>
        <v/>
      </c>
      <c r="C42" s="107" t="str">
        <f>IF(FRData!A27&lt;&gt;"",FRData!D27,"")</f>
        <v/>
      </c>
      <c r="E42" s="52"/>
      <c r="F42" s="418"/>
      <c r="G42" s="418"/>
      <c r="H42" s="418"/>
      <c r="I42" s="418"/>
      <c r="J42" s="418"/>
      <c r="K42" s="418"/>
      <c r="L42" s="419"/>
    </row>
    <row r="43" spans="1:12" ht="15" customHeight="1" x14ac:dyDescent="0.3">
      <c r="A43" s="4"/>
      <c r="B43" s="46" t="str">
        <f>IF(FRData!A28&lt;&gt;"",FRData!A28,"")</f>
        <v/>
      </c>
      <c r="C43" s="107" t="str">
        <f>IF(FRData!A28&lt;&gt;"",FRData!D28,"")</f>
        <v/>
      </c>
      <c r="E43" s="52"/>
      <c r="F43" s="418"/>
      <c r="G43" s="418"/>
      <c r="H43" s="418"/>
      <c r="I43" s="418"/>
      <c r="J43" s="418"/>
      <c r="K43" s="418"/>
      <c r="L43" s="419"/>
    </row>
    <row r="44" spans="1:12" ht="15" customHeight="1" x14ac:dyDescent="0.3">
      <c r="A44" s="4"/>
      <c r="B44" s="46" t="str">
        <f>IF(FRData!A29&lt;&gt;"",FRData!A29,"")</f>
        <v/>
      </c>
      <c r="C44" s="107" t="str">
        <f>IF(FRData!A29&lt;&gt;"",FRData!D29,"")</f>
        <v/>
      </c>
      <c r="E44" s="52"/>
      <c r="F44" s="418"/>
      <c r="G44" s="418"/>
      <c r="H44" s="418"/>
      <c r="I44" s="418"/>
      <c r="J44" s="418"/>
      <c r="K44" s="418"/>
      <c r="L44" s="419"/>
    </row>
    <row r="45" spans="1:12" ht="15" customHeight="1" x14ac:dyDescent="0.3">
      <c r="A45" s="4"/>
      <c r="B45" s="46" t="str">
        <f>IF(FRData!A30&lt;&gt;"",FRData!A30,"")</f>
        <v/>
      </c>
      <c r="C45" s="107" t="str">
        <f>IF(FRData!A30&lt;&gt;"",FRData!D30,"")</f>
        <v/>
      </c>
      <c r="E45" s="52"/>
      <c r="F45" s="418"/>
      <c r="G45" s="418"/>
      <c r="H45" s="418"/>
      <c r="I45" s="418"/>
      <c r="J45" s="418"/>
      <c r="K45" s="418"/>
      <c r="L45" s="419"/>
    </row>
    <row r="46" spans="1:12" ht="15" customHeight="1" x14ac:dyDescent="0.3">
      <c r="A46" s="4"/>
      <c r="B46" s="46" t="str">
        <f>IF(FRData!A31&lt;&gt;"",FRData!A31,"")</f>
        <v/>
      </c>
      <c r="C46" s="107" t="str">
        <f>IF(FRData!A31&lt;&gt;"",FRData!D31,"")</f>
        <v/>
      </c>
      <c r="E46" s="52"/>
      <c r="F46" s="418"/>
      <c r="G46" s="418"/>
      <c r="H46" s="418"/>
      <c r="I46" s="418"/>
      <c r="J46" s="418"/>
      <c r="K46" s="418"/>
      <c r="L46" s="419"/>
    </row>
    <row r="47" spans="1:12" ht="15" customHeight="1" x14ac:dyDescent="0.3">
      <c r="A47" s="4"/>
      <c r="B47" s="46" t="str">
        <f>IF(FRData!A32&lt;&gt;"",FRData!A32,"")</f>
        <v/>
      </c>
      <c r="C47" s="107" t="str">
        <f>IF(FRData!A32&lt;&gt;"",FRData!D32,"")</f>
        <v/>
      </c>
      <c r="E47" s="52"/>
      <c r="F47" s="418"/>
      <c r="G47" s="418"/>
      <c r="H47" s="418"/>
      <c r="I47" s="418"/>
      <c r="J47" s="418"/>
      <c r="K47" s="418"/>
      <c r="L47" s="419"/>
    </row>
    <row r="48" spans="1:12" ht="15" customHeight="1" x14ac:dyDescent="0.25">
      <c r="A48" s="4"/>
      <c r="B48" s="46" t="str">
        <f>IF(FRData!A33&lt;&gt;"",FRData!A33,"")</f>
        <v/>
      </c>
      <c r="C48" s="107" t="str">
        <f>IF(FRData!A33&lt;&gt;"",FRData!D33,"")</f>
        <v/>
      </c>
      <c r="E48" s="2" t="s">
        <v>245</v>
      </c>
      <c r="I48" s="349" t="s">
        <v>248</v>
      </c>
      <c r="J48" s="349"/>
      <c r="L48" s="5"/>
    </row>
    <row r="49" spans="1:12" ht="15" customHeight="1" x14ac:dyDescent="0.3">
      <c r="A49" s="4"/>
      <c r="B49" s="46" t="str">
        <f>IF(FRData!A34&lt;&gt;"",FRData!A34,"")</f>
        <v/>
      </c>
      <c r="C49" s="107" t="str">
        <f>IF(FRData!A34&lt;&gt;"",FRData!D34,"")</f>
        <v/>
      </c>
      <c r="E49" s="34" t="s">
        <v>246</v>
      </c>
      <c r="F49" s="149"/>
      <c r="G49" s="150"/>
      <c r="H49" s="10"/>
      <c r="I49" s="427" t="s">
        <v>249</v>
      </c>
      <c r="J49" s="427"/>
      <c r="K49" s="55"/>
      <c r="L49" s="60" t="s">
        <v>34</v>
      </c>
    </row>
    <row r="50" spans="1:12" ht="15" customHeight="1" x14ac:dyDescent="0.3">
      <c r="A50" s="4"/>
      <c r="B50" s="46" t="str">
        <f>IF(FRData!A35&lt;&gt;"",FRData!A35,"")</f>
        <v/>
      </c>
      <c r="C50" s="107" t="str">
        <f>IF(FRData!A35&lt;&gt;"",FRData!D35,"")</f>
        <v/>
      </c>
      <c r="E50" s="34" t="s">
        <v>247</v>
      </c>
      <c r="F50" s="149"/>
      <c r="G50" s="150"/>
      <c r="I50" s="427" t="s">
        <v>250</v>
      </c>
      <c r="J50" s="427"/>
      <c r="K50" s="55"/>
      <c r="L50" s="57" t="s">
        <v>10</v>
      </c>
    </row>
    <row r="51" spans="1:12" ht="15" customHeight="1" x14ac:dyDescent="0.3">
      <c r="A51" s="4"/>
      <c r="B51" s="46" t="str">
        <f>IF(FRData!A36&lt;&gt;"",FRData!A36,"")</f>
        <v/>
      </c>
      <c r="C51" s="107" t="str">
        <f>IF(FRData!A36&lt;&gt;"",FRData!D36,"")</f>
        <v/>
      </c>
      <c r="E51" s="62"/>
      <c r="F51" s="55"/>
      <c r="G51" s="63"/>
      <c r="H51" s="52"/>
      <c r="K51" s="8"/>
      <c r="L51" s="5"/>
    </row>
    <row r="52" spans="1:12" ht="15" customHeight="1" x14ac:dyDescent="0.3">
      <c r="A52" s="4"/>
      <c r="B52" s="46" t="str">
        <f>IF(FRData!A37&lt;&gt;"",FRData!A37,"")</f>
        <v/>
      </c>
      <c r="C52" s="107" t="str">
        <f>IF(FRData!A37&lt;&gt;"",FRData!D37,"")</f>
        <v/>
      </c>
      <c r="E52" s="62"/>
      <c r="F52" s="55"/>
      <c r="G52" s="63"/>
      <c r="H52" s="52"/>
      <c r="K52" s="8"/>
      <c r="L52" s="5"/>
    </row>
    <row r="53" spans="1:12" ht="15" customHeight="1" x14ac:dyDescent="0.25">
      <c r="A53" s="4"/>
      <c r="B53" s="46" t="str">
        <f>IF(FRData!A38&lt;&gt;"",FRData!A38,"")</f>
        <v/>
      </c>
      <c r="C53" s="107" t="str">
        <f>IF(FRData!A38&lt;&gt;"",FRData!D38,"")</f>
        <v/>
      </c>
      <c r="E53" s="52"/>
      <c r="F53" s="52"/>
      <c r="G53" s="52"/>
      <c r="H53" s="52"/>
      <c r="L53" s="5"/>
    </row>
    <row r="54" spans="1:12" ht="15" customHeight="1" x14ac:dyDescent="0.25">
      <c r="A54" s="4"/>
      <c r="B54" s="46" t="str">
        <f>IF(FRData!A39&lt;&gt;"",FRData!A39,"")</f>
        <v/>
      </c>
      <c r="C54" s="107" t="str">
        <f>IF(FRData!A39&lt;&gt;"",FRData!D39,"")</f>
        <v/>
      </c>
      <c r="E54" s="2" t="s">
        <v>279</v>
      </c>
      <c r="L54" s="5"/>
    </row>
    <row r="55" spans="1:12" ht="15" customHeight="1" x14ac:dyDescent="0.3">
      <c r="A55" s="4"/>
      <c r="B55" s="46" t="str">
        <f>IF(FRData!A40&lt;&gt;"",FRData!A40,"")</f>
        <v/>
      </c>
      <c r="C55" s="107" t="str">
        <f>IF(FRData!A40&lt;&gt;"",FRData!D40,"")</f>
        <v/>
      </c>
      <c r="E55" s="34" t="s">
        <v>251</v>
      </c>
      <c r="F55" s="55"/>
      <c r="G55" s="54"/>
      <c r="H55" s="52"/>
      <c r="I55" s="427" t="s">
        <v>252</v>
      </c>
      <c r="J55" s="427"/>
      <c r="K55" s="152">
        <f>FRRaw!B3</f>
        <v>0</v>
      </c>
      <c r="L55" s="5"/>
    </row>
    <row r="56" spans="1:12" ht="15" customHeight="1" x14ac:dyDescent="0.3">
      <c r="A56" s="4"/>
      <c r="B56" s="46" t="str">
        <f>IF(FRData!A41&lt;&gt;"",FRData!A41,"")</f>
        <v/>
      </c>
      <c r="C56" s="107" t="str">
        <f>IF(FRData!A41&lt;&gt;"",FRData!D41,"")</f>
        <v/>
      </c>
      <c r="E56" s="34" t="s">
        <v>271</v>
      </c>
      <c r="F56" s="61"/>
      <c r="G56" s="54"/>
      <c r="H56" s="52"/>
      <c r="I56" s="427" t="s">
        <v>253</v>
      </c>
      <c r="J56" s="427"/>
      <c r="K56" s="151">
        <f>FRRaw!C3</f>
        <v>0</v>
      </c>
      <c r="L56" s="5"/>
    </row>
    <row r="57" spans="1:12" ht="15" customHeight="1" thickBot="1" x14ac:dyDescent="0.3">
      <c r="A57" s="4"/>
      <c r="B57" s="47" t="str">
        <f>IF(FRData!A42&lt;&gt;"",FRData!A42,"")</f>
        <v/>
      </c>
      <c r="C57" s="108" t="str">
        <f>IF(FRData!A42&lt;&gt;"",FRData!D42,"")</f>
        <v/>
      </c>
      <c r="I57" s="427" t="s">
        <v>254</v>
      </c>
      <c r="J57" s="427"/>
      <c r="K57" s="153"/>
      <c r="L57" s="5"/>
    </row>
    <row r="58" spans="1:12" ht="13.8" thickBot="1" x14ac:dyDescent="0.3">
      <c r="A58" s="12"/>
      <c r="B58" s="13"/>
      <c r="C58" s="13"/>
      <c r="D58" s="13"/>
      <c r="E58" s="13"/>
      <c r="F58" s="13"/>
      <c r="G58" s="13"/>
      <c r="H58" s="13"/>
      <c r="I58" s="13"/>
      <c r="J58" s="13"/>
      <c r="K58" s="13"/>
      <c r="L58" s="14"/>
    </row>
    <row r="59" spans="1:12" x14ac:dyDescent="0.25"/>
    <row r="60" spans="1:12" x14ac:dyDescent="0.25"/>
  </sheetData>
  <sheetProtection formatCells="0" selectLockedCells="1"/>
  <mergeCells count="38">
    <mergeCell ref="I56:J56"/>
    <mergeCell ref="F42:L42"/>
    <mergeCell ref="I57:J57"/>
    <mergeCell ref="F44:L44"/>
    <mergeCell ref="F45:L45"/>
    <mergeCell ref="F46:L46"/>
    <mergeCell ref="F47:L47"/>
    <mergeCell ref="I48:J48"/>
    <mergeCell ref="I49:J49"/>
    <mergeCell ref="F40:L40"/>
    <mergeCell ref="F41:L41"/>
    <mergeCell ref="F43:L43"/>
    <mergeCell ref="I50:J50"/>
    <mergeCell ref="I55:J55"/>
    <mergeCell ref="F37:L37"/>
    <mergeCell ref="F38:L38"/>
    <mergeCell ref="F39:L39"/>
    <mergeCell ref="C10:D10"/>
    <mergeCell ref="B11:D11"/>
    <mergeCell ref="B12:D12"/>
    <mergeCell ref="B25:L25"/>
    <mergeCell ref="F11:G11"/>
    <mergeCell ref="F12:G12"/>
    <mergeCell ref="F13:G13"/>
    <mergeCell ref="F14:G14"/>
    <mergeCell ref="E17:E18"/>
    <mergeCell ref="F19:G19"/>
    <mergeCell ref="F17:G17"/>
    <mergeCell ref="F18:G18"/>
    <mergeCell ref="F36:L36"/>
    <mergeCell ref="B13:D13"/>
    <mergeCell ref="B2:L2"/>
    <mergeCell ref="E5:F5"/>
    <mergeCell ref="C9:F9"/>
    <mergeCell ref="C5:D5"/>
    <mergeCell ref="C6:D6"/>
    <mergeCell ref="C7:D7"/>
    <mergeCell ref="C8:D8"/>
  </mergeCells>
  <phoneticPr fontId="19" type="noConversion"/>
  <printOptions horizontalCentered="1" verticalCentered="1"/>
  <pageMargins left="0.25" right="0.25" top="0.31" bottom="0.2" header="0.1" footer="0.1"/>
  <pageSetup scale="87" orientation="portrait"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A1:AF60"/>
  <sheetViews>
    <sheetView zoomScaleNormal="100" workbookViewId="0">
      <selection activeCell="E5" sqref="E5:I5"/>
    </sheetView>
  </sheetViews>
  <sheetFormatPr defaultColWidth="0" defaultRowHeight="13.2" zeroHeight="1" x14ac:dyDescent="0.25"/>
  <cols>
    <col min="1" max="1" width="3.6640625" style="1" customWidth="1"/>
    <col min="2" max="28" width="3.44140625" style="1" customWidth="1"/>
    <col min="29" max="29" width="3.109375" style="1" customWidth="1"/>
    <col min="30" max="30" width="9.109375" style="1" customWidth="1"/>
    <col min="31" max="16384" width="0" style="1" hidden="1"/>
  </cols>
  <sheetData>
    <row r="1" spans="1:32" ht="15" x14ac:dyDescent="0.25">
      <c r="A1" s="15"/>
      <c r="B1" s="3"/>
      <c r="C1" s="3"/>
      <c r="D1" s="3"/>
      <c r="E1" s="3"/>
      <c r="F1" s="3"/>
      <c r="G1" s="3"/>
      <c r="H1" s="3"/>
      <c r="I1" s="3"/>
      <c r="J1" s="3"/>
      <c r="K1" s="3"/>
      <c r="L1" s="3"/>
      <c r="M1" s="3"/>
      <c r="N1" s="3"/>
      <c r="O1" s="3"/>
      <c r="P1" s="3"/>
      <c r="Q1" s="3"/>
      <c r="R1" s="3"/>
      <c r="S1" s="3"/>
      <c r="T1" s="3"/>
      <c r="U1" s="3"/>
      <c r="V1" s="3"/>
      <c r="W1" s="3"/>
      <c r="X1" s="3"/>
      <c r="Y1" s="3"/>
      <c r="Z1" s="3"/>
      <c r="AA1" s="3"/>
      <c r="AB1" s="3"/>
      <c r="AC1" s="16"/>
    </row>
    <row r="2" spans="1:32" ht="21" x14ac:dyDescent="0.25">
      <c r="A2" s="366" t="s">
        <v>262</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8"/>
    </row>
    <row r="3" spans="1:32" x14ac:dyDescent="0.25">
      <c r="A3" s="17"/>
      <c r="B3" s="18"/>
      <c r="C3" s="18"/>
      <c r="D3" s="18"/>
      <c r="E3" s="18"/>
      <c r="F3" s="18"/>
      <c r="G3" s="18"/>
      <c r="H3" s="18"/>
      <c r="I3" s="18"/>
      <c r="J3" s="18"/>
      <c r="K3" s="18"/>
      <c r="L3" s="18"/>
      <c r="M3" s="18"/>
      <c r="N3" s="18"/>
      <c r="O3" s="18"/>
      <c r="U3" s="18"/>
      <c r="V3" s="18"/>
      <c r="W3" s="18"/>
      <c r="X3" s="18"/>
      <c r="Y3" s="18"/>
      <c r="Z3" s="18"/>
      <c r="AA3" s="18"/>
      <c r="AB3" s="18"/>
      <c r="AC3" s="19"/>
    </row>
    <row r="4" spans="1:32" ht="14.4" x14ac:dyDescent="0.3">
      <c r="A4" s="17"/>
      <c r="B4" s="369" t="s">
        <v>259</v>
      </c>
      <c r="C4" s="369"/>
      <c r="D4" s="369"/>
      <c r="E4" s="369"/>
      <c r="F4" s="369"/>
      <c r="G4" s="20"/>
      <c r="H4" s="20"/>
      <c r="I4" s="21"/>
      <c r="J4" s="369" t="s">
        <v>232</v>
      </c>
      <c r="K4" s="369"/>
      <c r="L4" s="369"/>
      <c r="M4" s="369"/>
      <c r="N4" s="369"/>
      <c r="O4" s="20"/>
      <c r="P4" s="20"/>
      <c r="Q4" s="20"/>
      <c r="R4" s="20"/>
      <c r="S4" s="20"/>
      <c r="T4" s="20"/>
      <c r="U4" s="33"/>
      <c r="V4" s="370" t="s">
        <v>233</v>
      </c>
      <c r="W4" s="370"/>
      <c r="X4" s="370"/>
      <c r="Y4" s="370"/>
      <c r="Z4" s="370"/>
      <c r="AA4" s="370"/>
      <c r="AB4" s="370"/>
      <c r="AC4" s="39"/>
      <c r="AE4" s="22"/>
      <c r="AF4" s="22"/>
    </row>
    <row r="5" spans="1:32" ht="14.4" x14ac:dyDescent="0.3">
      <c r="A5" s="23"/>
      <c r="B5" s="356" t="s">
        <v>256</v>
      </c>
      <c r="C5" s="356"/>
      <c r="D5" s="356"/>
      <c r="E5" s="364" t="str">
        <f>IF(LINRaw!A5="","",LINRaw!A5)</f>
        <v/>
      </c>
      <c r="F5" s="364"/>
      <c r="G5" s="364"/>
      <c r="H5" s="364"/>
      <c r="I5" s="438"/>
      <c r="J5" s="356" t="s">
        <v>260</v>
      </c>
      <c r="K5" s="356"/>
      <c r="L5" s="356"/>
      <c r="M5" s="356"/>
      <c r="N5" s="356"/>
      <c r="O5" s="372" t="e">
        <f>IF('Linfit Worksheet'!B7&lt;1,FIXED('Linfit Worksheet'!B7,3),FIXED('Linfit Worksheet'!B7,3))</f>
        <v>#VALUE!</v>
      </c>
      <c r="P5" s="372"/>
      <c r="Q5" s="372"/>
      <c r="R5" s="377">
        <f>LINData!$D$13</f>
        <v>0</v>
      </c>
      <c r="S5" s="356"/>
      <c r="T5" s="356"/>
      <c r="U5" s="8"/>
      <c r="V5" s="351" t="s">
        <v>264</v>
      </c>
      <c r="W5" s="351"/>
      <c r="X5" s="351"/>
      <c r="Y5" s="334"/>
      <c r="Z5" s="334"/>
      <c r="AA5" s="334"/>
      <c r="AB5" s="334" t="str">
        <f>DLinMeasureRangeUnit</f>
        <v/>
      </c>
      <c r="AC5" s="335"/>
    </row>
    <row r="6" spans="1:32" ht="14.4" x14ac:dyDescent="0.3">
      <c r="A6" s="23"/>
      <c r="B6" s="356" t="s">
        <v>257</v>
      </c>
      <c r="C6" s="356"/>
      <c r="D6" s="356"/>
      <c r="E6" s="364" t="str">
        <f>IF(LINRaw!B5="","",LINRaw!B5)</f>
        <v/>
      </c>
      <c r="F6" s="364"/>
      <c r="G6" s="364"/>
      <c r="H6" s="364"/>
      <c r="I6" s="438"/>
      <c r="J6" s="11"/>
      <c r="K6" s="11"/>
      <c r="L6" s="11"/>
      <c r="M6" s="11"/>
      <c r="N6" s="11"/>
      <c r="O6" s="376"/>
      <c r="P6" s="376"/>
      <c r="Q6" s="376"/>
      <c r="R6" s="356"/>
      <c r="S6" s="356"/>
      <c r="T6" s="356"/>
      <c r="U6" s="8"/>
      <c r="V6" s="351" t="str">
        <f>IF(MeasurementResolution&lt;0.000000001,"","分辨率:")</f>
        <v>分辨率:</v>
      </c>
      <c r="W6" s="351"/>
      <c r="X6" s="351"/>
      <c r="Y6" s="334"/>
      <c r="Z6" s="334"/>
      <c r="AA6" s="334"/>
      <c r="AB6" s="334" t="str">
        <f>IF(Y6&lt;0.000000001,"",DLinMeasureRangeUnit)</f>
        <v/>
      </c>
      <c r="AC6" s="335"/>
    </row>
    <row r="7" spans="1:32" ht="14.4" x14ac:dyDescent="0.3">
      <c r="A7" s="23"/>
      <c r="B7" s="356" t="s">
        <v>258</v>
      </c>
      <c r="C7" s="356"/>
      <c r="D7" s="356"/>
      <c r="E7" s="364"/>
      <c r="F7" s="364"/>
      <c r="G7" s="364"/>
      <c r="H7" s="364"/>
      <c r="I7" s="438"/>
      <c r="J7" s="356" t="s">
        <v>261</v>
      </c>
      <c r="K7" s="356"/>
      <c r="L7" s="356"/>
      <c r="M7" s="356"/>
      <c r="N7" s="356"/>
      <c r="O7" s="355" t="str">
        <f>LINData!$B$11</f>
        <v/>
      </c>
      <c r="P7" s="355"/>
      <c r="Q7" s="355"/>
      <c r="R7" s="356" t="str">
        <f>LINData!$C$11</f>
        <v/>
      </c>
      <c r="S7" s="356"/>
      <c r="T7" s="356"/>
      <c r="U7" s="42"/>
      <c r="V7" s="351" t="s">
        <v>236</v>
      </c>
      <c r="W7" s="351"/>
      <c r="X7" s="351"/>
      <c r="Y7" s="334"/>
      <c r="Z7" s="334"/>
      <c r="AA7" s="334"/>
      <c r="AB7" s="334" t="s">
        <v>6</v>
      </c>
      <c r="AC7" s="335"/>
    </row>
    <row r="8" spans="1:32" ht="14.4" x14ac:dyDescent="0.3">
      <c r="A8" s="23"/>
      <c r="B8" s="356" t="s">
        <v>272</v>
      </c>
      <c r="C8" s="356"/>
      <c r="D8" s="356"/>
      <c r="E8" s="364"/>
      <c r="F8" s="364"/>
      <c r="G8" s="364"/>
      <c r="H8" s="364"/>
      <c r="I8" s="438"/>
      <c r="J8" s="356"/>
      <c r="K8" s="356"/>
      <c r="L8" s="356"/>
      <c r="M8" s="356"/>
      <c r="N8" s="356"/>
      <c r="O8" s="355"/>
      <c r="P8" s="355"/>
      <c r="Q8" s="355"/>
      <c r="R8" s="350"/>
      <c r="S8" s="350"/>
      <c r="T8" s="350"/>
      <c r="U8" s="42"/>
      <c r="V8" s="351" t="s">
        <v>237</v>
      </c>
      <c r="W8" s="351"/>
      <c r="X8" s="351"/>
      <c r="Y8" s="378"/>
      <c r="Z8" s="334"/>
      <c r="AA8" s="334"/>
      <c r="AB8" s="334" t="s">
        <v>35</v>
      </c>
      <c r="AC8" s="335"/>
    </row>
    <row r="9" spans="1:32" ht="13.8" x14ac:dyDescent="0.3">
      <c r="A9" s="24"/>
      <c r="B9" s="41"/>
      <c r="C9" s="41"/>
      <c r="D9" s="41"/>
      <c r="E9" s="22"/>
      <c r="F9" s="22"/>
      <c r="G9" s="22"/>
      <c r="H9" s="22"/>
      <c r="I9" s="22"/>
      <c r="J9" s="356" t="s">
        <v>263</v>
      </c>
      <c r="K9" s="356"/>
      <c r="L9" s="356"/>
      <c r="M9" s="356"/>
      <c r="N9" s="356"/>
      <c r="O9" s="355" t="str">
        <f>FIXED(LINData!$E$11*100,2)</f>
        <v>0.00</v>
      </c>
      <c r="P9" s="355"/>
      <c r="Q9" s="355"/>
      <c r="R9" s="350" t="s">
        <v>10</v>
      </c>
      <c r="S9" s="350"/>
      <c r="T9" s="350"/>
      <c r="U9" s="21"/>
      <c r="V9" s="351" t="str">
        <f>IF(LINRaw!C5&lt;&gt;"","Axis:","")</f>
        <v/>
      </c>
      <c r="W9" s="351"/>
      <c r="X9" s="351"/>
      <c r="Y9" s="334" t="str">
        <f>IF(LINRaw!C5&lt;&gt;"",LINRaw!C5,"")</f>
        <v/>
      </c>
      <c r="Z9" s="334"/>
      <c r="AA9" s="334"/>
      <c r="AB9" s="334"/>
      <c r="AC9" s="335"/>
    </row>
    <row r="10" spans="1:32" x14ac:dyDescent="0.25">
      <c r="A10" s="4"/>
      <c r="B10" s="352" t="s">
        <v>265</v>
      </c>
      <c r="C10" s="353"/>
      <c r="D10" s="353"/>
      <c r="E10" s="353"/>
      <c r="F10" s="353"/>
      <c r="G10" s="353"/>
      <c r="H10" s="353"/>
      <c r="I10" s="25"/>
      <c r="J10" s="25"/>
      <c r="K10" s="25"/>
      <c r="L10" s="25"/>
      <c r="M10" s="25"/>
      <c r="AC10" s="5"/>
    </row>
    <row r="11" spans="1:32" x14ac:dyDescent="0.25">
      <c r="A11" s="346"/>
      <c r="B11" s="347"/>
      <c r="C11" s="347"/>
      <c r="D11" s="347"/>
      <c r="E11" s="347"/>
      <c r="F11" s="347"/>
      <c r="G11" s="347"/>
      <c r="H11" s="347"/>
      <c r="I11" s="347"/>
      <c r="J11" s="347"/>
      <c r="K11" s="347"/>
      <c r="L11" s="347"/>
      <c r="M11" s="347"/>
      <c r="N11" s="347"/>
      <c r="O11" s="347"/>
      <c r="P11" s="347"/>
      <c r="Q11" s="347"/>
      <c r="R11" s="347"/>
      <c r="S11" s="347"/>
      <c r="T11" s="347"/>
      <c r="U11" s="347"/>
      <c r="V11" s="347"/>
      <c r="W11" s="347"/>
      <c r="X11" s="347"/>
      <c r="Y11" s="347"/>
      <c r="Z11" s="347"/>
      <c r="AA11" s="347"/>
      <c r="AB11" s="347"/>
      <c r="AC11" s="348"/>
    </row>
    <row r="12" spans="1:32" x14ac:dyDescent="0.25">
      <c r="A12" s="346"/>
      <c r="B12" s="347"/>
      <c r="C12" s="347"/>
      <c r="D12" s="347"/>
      <c r="E12" s="347"/>
      <c r="F12" s="347"/>
      <c r="G12" s="347"/>
      <c r="H12" s="347"/>
      <c r="I12" s="347"/>
      <c r="J12" s="347"/>
      <c r="K12" s="347"/>
      <c r="L12" s="347"/>
      <c r="M12" s="347"/>
      <c r="N12" s="347"/>
      <c r="O12" s="347"/>
      <c r="P12" s="347"/>
      <c r="Q12" s="347"/>
      <c r="R12" s="347"/>
      <c r="S12" s="347"/>
      <c r="T12" s="347"/>
      <c r="U12" s="347"/>
      <c r="V12" s="347"/>
      <c r="W12" s="347"/>
      <c r="X12" s="347"/>
      <c r="Y12" s="347"/>
      <c r="Z12" s="347"/>
      <c r="AA12" s="347"/>
      <c r="AB12" s="347"/>
      <c r="AC12" s="348"/>
    </row>
    <row r="13" spans="1:32" x14ac:dyDescent="0.25">
      <c r="A13" s="346"/>
      <c r="B13" s="347"/>
      <c r="C13" s="347"/>
      <c r="D13" s="347"/>
      <c r="E13" s="347"/>
      <c r="F13" s="347"/>
      <c r="G13" s="347"/>
      <c r="H13" s="347"/>
      <c r="I13" s="347"/>
      <c r="J13" s="347"/>
      <c r="K13" s="347"/>
      <c r="L13" s="347"/>
      <c r="M13" s="347"/>
      <c r="N13" s="347"/>
      <c r="O13" s="347"/>
      <c r="P13" s="347"/>
      <c r="Q13" s="347"/>
      <c r="R13" s="347"/>
      <c r="S13" s="347"/>
      <c r="T13" s="347"/>
      <c r="U13" s="347"/>
      <c r="V13" s="347"/>
      <c r="W13" s="347"/>
      <c r="X13" s="347"/>
      <c r="Y13" s="347"/>
      <c r="Z13" s="347"/>
      <c r="AA13" s="347"/>
      <c r="AB13" s="347"/>
      <c r="AC13" s="348"/>
    </row>
    <row r="14" spans="1:32" x14ac:dyDescent="0.25">
      <c r="A14" s="346"/>
      <c r="B14" s="347"/>
      <c r="C14" s="347"/>
      <c r="D14" s="347"/>
      <c r="E14" s="347"/>
      <c r="F14" s="347"/>
      <c r="G14" s="347"/>
      <c r="H14" s="347"/>
      <c r="I14" s="347"/>
      <c r="J14" s="347"/>
      <c r="K14" s="347"/>
      <c r="L14" s="347"/>
      <c r="M14" s="347"/>
      <c r="N14" s="347"/>
      <c r="O14" s="347"/>
      <c r="P14" s="347"/>
      <c r="Q14" s="347"/>
      <c r="R14" s="347"/>
      <c r="S14" s="347"/>
      <c r="T14" s="347"/>
      <c r="U14" s="347"/>
      <c r="V14" s="347"/>
      <c r="W14" s="347"/>
      <c r="X14" s="347"/>
      <c r="Y14" s="347"/>
      <c r="Z14" s="347"/>
      <c r="AA14" s="347"/>
      <c r="AB14" s="347"/>
      <c r="AC14" s="348"/>
    </row>
    <row r="15" spans="1:32" x14ac:dyDescent="0.25">
      <c r="A15" s="346"/>
      <c r="B15" s="347"/>
      <c r="C15" s="347"/>
      <c r="D15" s="347"/>
      <c r="E15" s="347"/>
      <c r="F15" s="347"/>
      <c r="G15" s="347"/>
      <c r="H15" s="347"/>
      <c r="I15" s="347"/>
      <c r="J15" s="347"/>
      <c r="K15" s="347"/>
      <c r="L15" s="347"/>
      <c r="M15" s="347"/>
      <c r="N15" s="347"/>
      <c r="O15" s="347"/>
      <c r="P15" s="347"/>
      <c r="Q15" s="347"/>
      <c r="R15" s="347"/>
      <c r="S15" s="347"/>
      <c r="T15" s="347"/>
      <c r="U15" s="347"/>
      <c r="V15" s="347"/>
      <c r="W15" s="347"/>
      <c r="X15" s="347"/>
      <c r="Y15" s="347"/>
      <c r="Z15" s="347"/>
      <c r="AA15" s="347"/>
      <c r="AB15" s="347"/>
      <c r="AC15" s="348"/>
    </row>
    <row r="16" spans="1:32" x14ac:dyDescent="0.25">
      <c r="A16" s="346"/>
      <c r="B16" s="347"/>
      <c r="C16" s="347"/>
      <c r="D16" s="347"/>
      <c r="E16" s="347"/>
      <c r="F16" s="347"/>
      <c r="G16" s="347"/>
      <c r="H16" s="347"/>
      <c r="I16" s="347"/>
      <c r="J16" s="347"/>
      <c r="K16" s="347"/>
      <c r="L16" s="347"/>
      <c r="M16" s="347"/>
      <c r="N16" s="347"/>
      <c r="O16" s="347"/>
      <c r="P16" s="347"/>
      <c r="Q16" s="347"/>
      <c r="R16" s="347"/>
      <c r="S16" s="347"/>
      <c r="T16" s="347"/>
      <c r="U16" s="347"/>
      <c r="V16" s="347"/>
      <c r="W16" s="347"/>
      <c r="X16" s="347"/>
      <c r="Y16" s="347"/>
      <c r="Z16" s="347"/>
      <c r="AA16" s="347"/>
      <c r="AB16" s="347"/>
      <c r="AC16" s="348"/>
    </row>
    <row r="17" spans="1:29" x14ac:dyDescent="0.25">
      <c r="A17" s="346"/>
      <c r="B17" s="347"/>
      <c r="C17" s="347"/>
      <c r="D17" s="347"/>
      <c r="E17" s="347"/>
      <c r="F17" s="347"/>
      <c r="G17" s="347"/>
      <c r="H17" s="347"/>
      <c r="I17" s="347"/>
      <c r="J17" s="347"/>
      <c r="K17" s="347"/>
      <c r="L17" s="347"/>
      <c r="M17" s="347"/>
      <c r="N17" s="347"/>
      <c r="O17" s="347"/>
      <c r="P17" s="347"/>
      <c r="Q17" s="347"/>
      <c r="R17" s="347"/>
      <c r="S17" s="347"/>
      <c r="T17" s="347"/>
      <c r="U17" s="347"/>
      <c r="V17" s="347"/>
      <c r="W17" s="347"/>
      <c r="X17" s="347"/>
      <c r="Y17" s="347"/>
      <c r="Z17" s="347"/>
      <c r="AA17" s="347"/>
      <c r="AB17" s="347"/>
      <c r="AC17" s="348"/>
    </row>
    <row r="18" spans="1:29" x14ac:dyDescent="0.25">
      <c r="A18" s="346"/>
      <c r="B18" s="347"/>
      <c r="C18" s="347"/>
      <c r="D18" s="347"/>
      <c r="E18" s="347"/>
      <c r="F18" s="347"/>
      <c r="G18" s="347"/>
      <c r="H18" s="347"/>
      <c r="I18" s="347"/>
      <c r="J18" s="347"/>
      <c r="K18" s="347"/>
      <c r="L18" s="347"/>
      <c r="M18" s="347"/>
      <c r="N18" s="347"/>
      <c r="O18" s="347"/>
      <c r="P18" s="347"/>
      <c r="Q18" s="347"/>
      <c r="R18" s="347"/>
      <c r="S18" s="347"/>
      <c r="T18" s="347"/>
      <c r="U18" s="347"/>
      <c r="V18" s="347"/>
      <c r="W18" s="347"/>
      <c r="X18" s="347"/>
      <c r="Y18" s="347"/>
      <c r="Z18" s="347"/>
      <c r="AA18" s="347"/>
      <c r="AB18" s="347"/>
      <c r="AC18" s="348"/>
    </row>
    <row r="19" spans="1:29" x14ac:dyDescent="0.25">
      <c r="A19" s="346"/>
      <c r="B19" s="347"/>
      <c r="C19" s="347"/>
      <c r="D19" s="347"/>
      <c r="E19" s="347"/>
      <c r="F19" s="347"/>
      <c r="G19" s="347"/>
      <c r="H19" s="347"/>
      <c r="I19" s="347"/>
      <c r="J19" s="347"/>
      <c r="K19" s="347"/>
      <c r="L19" s="347"/>
      <c r="M19" s="347"/>
      <c r="N19" s="347"/>
      <c r="O19" s="347"/>
      <c r="P19" s="347"/>
      <c r="Q19" s="347"/>
      <c r="R19" s="347"/>
      <c r="S19" s="347"/>
      <c r="T19" s="347"/>
      <c r="U19" s="347"/>
      <c r="V19" s="347"/>
      <c r="W19" s="347"/>
      <c r="X19" s="347"/>
      <c r="Y19" s="347"/>
      <c r="Z19" s="347"/>
      <c r="AA19" s="347"/>
      <c r="AB19" s="347"/>
      <c r="AC19" s="348"/>
    </row>
    <row r="20" spans="1:29" x14ac:dyDescent="0.25">
      <c r="A20" s="346"/>
      <c r="B20" s="347"/>
      <c r="C20" s="347"/>
      <c r="D20" s="347"/>
      <c r="E20" s="347"/>
      <c r="F20" s="347"/>
      <c r="G20" s="347"/>
      <c r="H20" s="347"/>
      <c r="I20" s="347"/>
      <c r="J20" s="347"/>
      <c r="K20" s="347"/>
      <c r="L20" s="347"/>
      <c r="M20" s="347"/>
      <c r="N20" s="347"/>
      <c r="O20" s="347"/>
      <c r="P20" s="347"/>
      <c r="Q20" s="347"/>
      <c r="R20" s="347"/>
      <c r="S20" s="347"/>
      <c r="T20" s="347"/>
      <c r="U20" s="347"/>
      <c r="V20" s="347"/>
      <c r="W20" s="347"/>
      <c r="X20" s="347"/>
      <c r="Y20" s="347"/>
      <c r="Z20" s="347"/>
      <c r="AA20" s="347"/>
      <c r="AB20" s="347"/>
      <c r="AC20" s="348"/>
    </row>
    <row r="21" spans="1:29" x14ac:dyDescent="0.25">
      <c r="A21" s="346"/>
      <c r="B21" s="347"/>
      <c r="C21" s="347"/>
      <c r="D21" s="347"/>
      <c r="E21" s="347"/>
      <c r="F21" s="347"/>
      <c r="G21" s="347"/>
      <c r="H21" s="347"/>
      <c r="I21" s="347"/>
      <c r="J21" s="347"/>
      <c r="K21" s="347"/>
      <c r="L21" s="347"/>
      <c r="M21" s="347"/>
      <c r="N21" s="347"/>
      <c r="O21" s="347"/>
      <c r="P21" s="347"/>
      <c r="Q21" s="347"/>
      <c r="R21" s="347"/>
      <c r="S21" s="347"/>
      <c r="T21" s="347"/>
      <c r="U21" s="347"/>
      <c r="V21" s="347"/>
      <c r="W21" s="347"/>
      <c r="X21" s="347"/>
      <c r="Y21" s="347"/>
      <c r="Z21" s="347"/>
      <c r="AA21" s="347"/>
      <c r="AB21" s="347"/>
      <c r="AC21" s="348"/>
    </row>
    <row r="22" spans="1:29" x14ac:dyDescent="0.25">
      <c r="A22" s="346"/>
      <c r="B22" s="347"/>
      <c r="C22" s="347"/>
      <c r="D22" s="347"/>
      <c r="E22" s="347"/>
      <c r="F22" s="347"/>
      <c r="G22" s="347"/>
      <c r="H22" s="347"/>
      <c r="I22" s="347"/>
      <c r="J22" s="347"/>
      <c r="K22" s="347"/>
      <c r="L22" s="347"/>
      <c r="M22" s="347"/>
      <c r="N22" s="347"/>
      <c r="O22" s="347"/>
      <c r="P22" s="347"/>
      <c r="Q22" s="347"/>
      <c r="R22" s="347"/>
      <c r="S22" s="347"/>
      <c r="T22" s="347"/>
      <c r="U22" s="347"/>
      <c r="V22" s="347"/>
      <c r="W22" s="347"/>
      <c r="X22" s="347"/>
      <c r="Y22" s="347"/>
      <c r="Z22" s="347"/>
      <c r="AA22" s="347"/>
      <c r="AB22" s="347"/>
      <c r="AC22" s="348"/>
    </row>
    <row r="23" spans="1:29" x14ac:dyDescent="0.25">
      <c r="A23" s="346"/>
      <c r="B23" s="347"/>
      <c r="C23" s="347"/>
      <c r="D23" s="347"/>
      <c r="E23" s="347"/>
      <c r="F23" s="347"/>
      <c r="G23" s="347"/>
      <c r="H23" s="347"/>
      <c r="I23" s="347"/>
      <c r="J23" s="347"/>
      <c r="K23" s="347"/>
      <c r="L23" s="347"/>
      <c r="M23" s="347"/>
      <c r="N23" s="347"/>
      <c r="O23" s="347"/>
      <c r="P23" s="347"/>
      <c r="Q23" s="347"/>
      <c r="R23" s="347"/>
      <c r="S23" s="347"/>
      <c r="T23" s="347"/>
      <c r="U23" s="347"/>
      <c r="V23" s="347"/>
      <c r="W23" s="347"/>
      <c r="X23" s="347"/>
      <c r="Y23" s="347"/>
      <c r="Z23" s="347"/>
      <c r="AA23" s="347"/>
      <c r="AB23" s="347"/>
      <c r="AC23" s="348"/>
    </row>
    <row r="24" spans="1:29" x14ac:dyDescent="0.25">
      <c r="A24" s="346"/>
      <c r="B24" s="347"/>
      <c r="C24" s="347"/>
      <c r="D24" s="347"/>
      <c r="E24" s="347"/>
      <c r="F24" s="347"/>
      <c r="G24" s="347"/>
      <c r="H24" s="347"/>
      <c r="I24" s="347"/>
      <c r="J24" s="347"/>
      <c r="K24" s="347"/>
      <c r="L24" s="347"/>
      <c r="M24" s="347"/>
      <c r="N24" s="347"/>
      <c r="O24" s="347"/>
      <c r="P24" s="347"/>
      <c r="Q24" s="347"/>
      <c r="R24" s="347"/>
      <c r="S24" s="347"/>
      <c r="T24" s="347"/>
      <c r="U24" s="347"/>
      <c r="V24" s="347"/>
      <c r="W24" s="347"/>
      <c r="X24" s="347"/>
      <c r="Y24" s="347"/>
      <c r="Z24" s="347"/>
      <c r="AA24" s="347"/>
      <c r="AB24" s="347"/>
      <c r="AC24" s="348"/>
    </row>
    <row r="25" spans="1:29" x14ac:dyDescent="0.25">
      <c r="A25" s="346"/>
      <c r="B25" s="347"/>
      <c r="C25" s="347"/>
      <c r="D25" s="347"/>
      <c r="E25" s="347"/>
      <c r="F25" s="347"/>
      <c r="G25" s="347"/>
      <c r="H25" s="347"/>
      <c r="I25" s="347"/>
      <c r="J25" s="347"/>
      <c r="K25" s="347"/>
      <c r="L25" s="347"/>
      <c r="M25" s="347"/>
      <c r="N25" s="347"/>
      <c r="O25" s="347"/>
      <c r="P25" s="347"/>
      <c r="Q25" s="347"/>
      <c r="R25" s="347"/>
      <c r="S25" s="347"/>
      <c r="T25" s="347"/>
      <c r="U25" s="347"/>
      <c r="V25" s="347"/>
      <c r="W25" s="347"/>
      <c r="X25" s="347"/>
      <c r="Y25" s="347"/>
      <c r="Z25" s="347"/>
      <c r="AA25" s="347"/>
      <c r="AB25" s="347"/>
      <c r="AC25" s="348"/>
    </row>
    <row r="26" spans="1:29" ht="13.8" thickBot="1" x14ac:dyDescent="0.3">
      <c r="A26" s="4"/>
      <c r="B26" s="349" t="s">
        <v>266</v>
      </c>
      <c r="C26" s="349"/>
      <c r="D26" s="349"/>
      <c r="E26" s="349"/>
      <c r="F26" s="40"/>
      <c r="G26" s="40"/>
      <c r="I26" s="26"/>
      <c r="J26" s="26"/>
      <c r="T26" s="21"/>
      <c r="U26" s="21"/>
      <c r="V26" s="21"/>
      <c r="W26" s="27"/>
      <c r="X26" s="27"/>
      <c r="Y26" s="27"/>
      <c r="Z26" s="27"/>
      <c r="AA26" s="27"/>
      <c r="AB26" s="27"/>
      <c r="AC26" s="5"/>
    </row>
    <row r="27" spans="1:29" ht="14.4" x14ac:dyDescent="0.3">
      <c r="A27" s="4"/>
      <c r="B27" s="358" t="str">
        <f>LINData!B12&amp;" ("&amp;LINData!B13&amp;")"</f>
        <v>输入 ()</v>
      </c>
      <c r="C27" s="441"/>
      <c r="D27" s="441"/>
      <c r="E27" s="336" t="str">
        <f>"输出 ("&amp;LINData!C13&amp;")"</f>
        <v>输出 ()</v>
      </c>
      <c r="F27" s="441"/>
      <c r="G27" s="441"/>
      <c r="H27" s="336" t="s">
        <v>267</v>
      </c>
      <c r="I27" s="441"/>
      <c r="J27" s="442"/>
      <c r="L27" s="349" t="s">
        <v>274</v>
      </c>
      <c r="M27" s="349"/>
      <c r="AC27" s="5"/>
    </row>
    <row r="28" spans="1:29" x14ac:dyDescent="0.25">
      <c r="A28" s="4"/>
      <c r="B28" s="319" t="str">
        <f>IF(LINData!B14&lt;&gt;"",IF(LINData!C14&lt;&gt;"",LINData!B14,""),"")</f>
        <v/>
      </c>
      <c r="C28" s="320"/>
      <c r="D28" s="320"/>
      <c r="E28" s="429" t="str">
        <f>IF(LINData!B14&lt;&gt;"",IF(LINData!C14&lt;&gt;"",LINData!C14,""),"")</f>
        <v/>
      </c>
      <c r="F28" s="429"/>
      <c r="G28" s="429"/>
      <c r="H28" s="439" t="str">
        <f>IF(LINData!B14&lt;&gt;"",IF(LINData!C14&lt;&gt;"",LINData!E14,""),"")</f>
        <v/>
      </c>
      <c r="I28" s="439"/>
      <c r="J28" s="440"/>
      <c r="L28" s="340" t="s">
        <v>275</v>
      </c>
      <c r="M28" s="340"/>
      <c r="N28" s="340"/>
      <c r="O28" s="340"/>
      <c r="P28" s="340"/>
      <c r="Q28" s="340"/>
      <c r="R28" s="340"/>
      <c r="S28" s="340"/>
      <c r="T28" s="340"/>
      <c r="U28" s="340"/>
      <c r="V28" s="340"/>
      <c r="W28" s="340"/>
      <c r="X28" s="340"/>
      <c r="Y28" s="340"/>
      <c r="Z28" s="340"/>
      <c r="AA28" s="340"/>
      <c r="AB28" s="340"/>
      <c r="AC28" s="341"/>
    </row>
    <row r="29" spans="1:29" ht="12.9" customHeight="1" x14ac:dyDescent="0.25">
      <c r="A29" s="4"/>
      <c r="B29" s="319" t="str">
        <f>IF(LINData!B15&lt;&gt;"",IF(LINData!C15&lt;&gt;"",LINData!B15,""),"")</f>
        <v/>
      </c>
      <c r="C29" s="320"/>
      <c r="D29" s="320"/>
      <c r="E29" s="429" t="str">
        <f>IF(LINData!B15&lt;&gt;"",IF(LINData!C15&lt;&gt;"",LINData!C15,""),"")</f>
        <v/>
      </c>
      <c r="F29" s="429"/>
      <c r="G29" s="429"/>
      <c r="H29" s="439" t="str">
        <f>IF(LINData!B15&lt;&gt;"",IF(LINData!C15&lt;&gt;"",LINData!E15,""),"")</f>
        <v/>
      </c>
      <c r="I29" s="439"/>
      <c r="J29" s="440"/>
      <c r="L29" s="340" t="s">
        <v>286</v>
      </c>
      <c r="M29" s="340"/>
      <c r="N29" s="340"/>
      <c r="O29" s="340"/>
      <c r="P29" s="340"/>
      <c r="Q29" s="340"/>
      <c r="R29" s="340"/>
      <c r="S29" s="340"/>
      <c r="T29" s="340"/>
      <c r="U29" s="340"/>
      <c r="V29" s="340"/>
      <c r="W29" s="340"/>
      <c r="X29" s="340"/>
      <c r="Y29" s="340"/>
      <c r="Z29" s="340"/>
      <c r="AA29" s="340"/>
      <c r="AB29" s="340"/>
      <c r="AC29" s="341"/>
    </row>
    <row r="30" spans="1:29" ht="12.9" customHeight="1" x14ac:dyDescent="0.25">
      <c r="A30" s="4"/>
      <c r="B30" s="319" t="str">
        <f>IF(LINData!B16&lt;&gt;"",IF(LINData!C16&lt;&gt;"",LINData!B16,""),"")</f>
        <v/>
      </c>
      <c r="C30" s="320"/>
      <c r="D30" s="320"/>
      <c r="E30" s="429" t="str">
        <f>IF(LINData!B16&lt;&gt;"",IF(LINData!C16&lt;&gt;"",LINData!C16,""),"")</f>
        <v/>
      </c>
      <c r="F30" s="429"/>
      <c r="G30" s="429"/>
      <c r="H30" s="439" t="str">
        <f>IF(LINData!B16&lt;&gt;"",IF(LINData!C16&lt;&gt;"",LINData!E16,""),"")</f>
        <v/>
      </c>
      <c r="I30" s="439"/>
      <c r="J30" s="440"/>
      <c r="L30" s="432" t="str">
        <f>IF(LINRaw!A6="", "","Traceable to "&amp; LINRaw!$A$6 &amp; IF(LINRaw!B6="", "", " and " &amp; LINRaw!$B$6))</f>
        <v/>
      </c>
      <c r="M30" s="432"/>
      <c r="N30" s="432"/>
      <c r="O30" s="432"/>
      <c r="P30" s="432"/>
      <c r="Q30" s="432"/>
      <c r="R30" s="432"/>
      <c r="S30" s="432"/>
      <c r="T30" s="432"/>
      <c r="U30" s="432"/>
      <c r="V30" s="432"/>
      <c r="W30" s="432"/>
      <c r="X30" s="432"/>
      <c r="Y30" s="432"/>
      <c r="Z30" s="432"/>
      <c r="AA30" s="432"/>
      <c r="AB30" s="432"/>
      <c r="AC30" s="433"/>
    </row>
    <row r="31" spans="1:29" ht="12.9" customHeight="1" x14ac:dyDescent="0.25">
      <c r="A31" s="4"/>
      <c r="B31" s="319" t="str">
        <f>IF(LINData!B17&lt;&gt;"",IF(LINData!C17&lt;&gt;"",LINData!B17,""),"")</f>
        <v/>
      </c>
      <c r="C31" s="320"/>
      <c r="D31" s="320"/>
      <c r="E31" s="429" t="str">
        <f>IF(LINData!B17&lt;&gt;"",IF(LINData!C17&lt;&gt;"",LINData!C17,""),"")</f>
        <v/>
      </c>
      <c r="F31" s="429"/>
      <c r="G31" s="429"/>
      <c r="H31" s="439" t="str">
        <f>IF(LINData!B17&lt;&gt;"",IF(LINData!C17&lt;&gt;"",LINData!E17,""),"")</f>
        <v/>
      </c>
      <c r="I31" s="439"/>
      <c r="J31" s="440"/>
      <c r="L31" s="446" t="s">
        <v>241</v>
      </c>
      <c r="M31" s="446"/>
      <c r="N31" s="446"/>
      <c r="O31" s="446"/>
      <c r="P31" s="446"/>
      <c r="Q31" s="446"/>
      <c r="R31" s="446"/>
      <c r="S31" s="446"/>
      <c r="T31" s="446"/>
      <c r="U31" s="446"/>
      <c r="V31" s="446"/>
      <c r="W31" s="446"/>
      <c r="X31" s="446"/>
      <c r="Y31" s="446"/>
      <c r="Z31" s="446"/>
      <c r="AA31" s="446"/>
      <c r="AB31" s="446"/>
      <c r="AC31" s="447"/>
    </row>
    <row r="32" spans="1:29" ht="12.9" customHeight="1" x14ac:dyDescent="0.25">
      <c r="A32" s="4"/>
      <c r="B32" s="319" t="str">
        <f>IF(LINData!B18&lt;&gt;"",IF(LINData!C18&lt;&gt;"",LINData!B18,""),"")</f>
        <v/>
      </c>
      <c r="C32" s="320"/>
      <c r="D32" s="320"/>
      <c r="E32" s="429" t="str">
        <f>IF(LINData!B18&lt;&gt;"",IF(LINData!C18&lt;&gt;"",LINData!C18,""),"")</f>
        <v/>
      </c>
      <c r="F32" s="429"/>
      <c r="G32" s="429"/>
      <c r="H32" s="439" t="str">
        <f>IF(LINData!B18&lt;&gt;"",IF(LINData!C18&lt;&gt;"",LINData!E18,""),"")</f>
        <v/>
      </c>
      <c r="I32" s="439"/>
      <c r="J32" s="440"/>
      <c r="L32" s="446"/>
      <c r="M32" s="446"/>
      <c r="N32" s="446"/>
      <c r="O32" s="446"/>
      <c r="P32" s="446"/>
      <c r="Q32" s="446"/>
      <c r="R32" s="446"/>
      <c r="S32" s="446"/>
      <c r="T32" s="446"/>
      <c r="U32" s="446"/>
      <c r="V32" s="446"/>
      <c r="W32" s="446"/>
      <c r="X32" s="446"/>
      <c r="Y32" s="446"/>
      <c r="Z32" s="446"/>
      <c r="AA32" s="446"/>
      <c r="AB32" s="446"/>
      <c r="AC32" s="447"/>
    </row>
    <row r="33" spans="1:29" ht="12.9" customHeight="1" x14ac:dyDescent="0.25">
      <c r="A33" s="4"/>
      <c r="B33" s="319" t="str">
        <f>IF(LINData!B19&lt;&gt;"",IF(LINData!C19&lt;&gt;"",LINData!B19,""),"")</f>
        <v/>
      </c>
      <c r="C33" s="320"/>
      <c r="D33" s="320"/>
      <c r="E33" s="429" t="str">
        <f>IF(LINData!B19&lt;&gt;"",IF(LINData!C19&lt;&gt;"",LINData!C19,""),"")</f>
        <v/>
      </c>
      <c r="F33" s="429"/>
      <c r="G33" s="429"/>
      <c r="H33" s="439" t="str">
        <f>IF(LINData!B19&lt;&gt;"",IF(LINData!C19&lt;&gt;"",LINData!E19,""),"")</f>
        <v/>
      </c>
      <c r="I33" s="439"/>
      <c r="J33" s="440"/>
      <c r="L33" s="434" t="s">
        <v>242</v>
      </c>
      <c r="M33" s="434"/>
      <c r="N33" s="434"/>
      <c r="O33" s="434"/>
      <c r="P33" s="434"/>
      <c r="Q33" s="434"/>
      <c r="R33" s="434"/>
      <c r="S33" s="434"/>
      <c r="T33" s="434"/>
      <c r="U33" s="434"/>
      <c r="V33" s="434"/>
      <c r="W33" s="434"/>
      <c r="X33" s="434"/>
      <c r="Y33" s="434"/>
      <c r="Z33" s="434"/>
      <c r="AA33" s="434"/>
      <c r="AB33" s="434"/>
      <c r="AC33" s="435"/>
    </row>
    <row r="34" spans="1:29" ht="12.9" customHeight="1" x14ac:dyDescent="0.25">
      <c r="A34" s="4"/>
      <c r="B34" s="319" t="str">
        <f>IF(LINData!B20&lt;&gt;"",IF(LINData!C20&lt;&gt;"",LINData!B20,""),"")</f>
        <v/>
      </c>
      <c r="C34" s="320"/>
      <c r="D34" s="320"/>
      <c r="E34" s="429" t="str">
        <f>IF(LINData!B20&lt;&gt;"",IF(LINData!C20&lt;&gt;"",LINData!C20,""),"")</f>
        <v/>
      </c>
      <c r="F34" s="429"/>
      <c r="G34" s="429"/>
      <c r="H34" s="439" t="str">
        <f>IF(LINData!B20&lt;&gt;"",IF(LINData!C20&lt;&gt;"",LINData!E20,""),"")</f>
        <v/>
      </c>
      <c r="I34" s="439"/>
      <c r="J34" s="440"/>
      <c r="L34" s="434"/>
      <c r="M34" s="434"/>
      <c r="N34" s="434"/>
      <c r="O34" s="434"/>
      <c r="P34" s="434"/>
      <c r="Q34" s="434"/>
      <c r="R34" s="434"/>
      <c r="S34" s="434"/>
      <c r="T34" s="434"/>
      <c r="U34" s="434"/>
      <c r="V34" s="434"/>
      <c r="W34" s="434"/>
      <c r="X34" s="434"/>
      <c r="Y34" s="434"/>
      <c r="Z34" s="434"/>
      <c r="AA34" s="434"/>
      <c r="AB34" s="434"/>
      <c r="AC34" s="435"/>
    </row>
    <row r="35" spans="1:29" ht="12.9" customHeight="1" x14ac:dyDescent="0.25">
      <c r="A35" s="4"/>
      <c r="B35" s="319" t="str">
        <f>IF(LINData!B21&lt;&gt;"",IF(LINData!C21&lt;&gt;"",LINData!B21,""),"")</f>
        <v/>
      </c>
      <c r="C35" s="320"/>
      <c r="D35" s="320"/>
      <c r="E35" s="429" t="str">
        <f>IF(LINData!B21&lt;&gt;"",IF(LINData!C21&lt;&gt;"",LINData!C21,""),"")</f>
        <v/>
      </c>
      <c r="F35" s="429"/>
      <c r="G35" s="429"/>
      <c r="H35" s="439" t="str">
        <f>IF(LINData!B21&lt;&gt;"",IF(LINData!C21&lt;&gt;"",LINData!E21,""),"")</f>
        <v/>
      </c>
      <c r="I35" s="439"/>
      <c r="J35" s="440"/>
      <c r="L35" s="434"/>
      <c r="M35" s="434"/>
      <c r="N35" s="434"/>
      <c r="O35" s="434"/>
      <c r="P35" s="434"/>
      <c r="Q35" s="434"/>
      <c r="R35" s="434"/>
      <c r="S35" s="434"/>
      <c r="T35" s="434"/>
      <c r="U35" s="434"/>
      <c r="V35" s="434"/>
      <c r="W35" s="434"/>
      <c r="X35" s="434"/>
      <c r="Y35" s="434"/>
      <c r="Z35" s="434"/>
      <c r="AA35" s="434"/>
      <c r="AB35" s="434"/>
      <c r="AC35" s="435"/>
    </row>
    <row r="36" spans="1:29" ht="12.9" customHeight="1" x14ac:dyDescent="0.25">
      <c r="A36" s="4"/>
      <c r="B36" s="319" t="str">
        <f>IF(LINData!B22&lt;&gt;"",IF(LINData!C22&lt;&gt;"",LINData!B22,""),"")</f>
        <v/>
      </c>
      <c r="C36" s="320"/>
      <c r="D36" s="320"/>
      <c r="E36" s="429" t="str">
        <f>IF(LINData!B22&lt;&gt;"",IF(LINData!C22&lt;&gt;"",LINData!C22,""),"")</f>
        <v/>
      </c>
      <c r="F36" s="429"/>
      <c r="G36" s="429"/>
      <c r="H36" s="439" t="str">
        <f>IF(LINData!B22&lt;&gt;"",IF(LINData!C22&lt;&gt;"",LINData!E22,""),"")</f>
        <v/>
      </c>
      <c r="I36" s="439"/>
      <c r="J36" s="440"/>
      <c r="L36" s="333" t="s">
        <v>269</v>
      </c>
      <c r="M36" s="333"/>
      <c r="N36" s="333"/>
      <c r="O36" s="436" t="str">
        <f>IF(LINRaw!$D$5="","",LINRaw!$D$5)</f>
        <v/>
      </c>
      <c r="P36" s="436"/>
      <c r="Q36" s="436"/>
      <c r="R36" s="436"/>
      <c r="S36" s="436"/>
      <c r="T36" s="436"/>
      <c r="U36" s="436"/>
      <c r="V36" s="436"/>
      <c r="W36" s="436"/>
      <c r="X36" s="436"/>
      <c r="Y36" s="436"/>
      <c r="Z36" s="436"/>
      <c r="AA36" s="436"/>
      <c r="AB36" s="436"/>
      <c r="AC36" s="437"/>
    </row>
    <row r="37" spans="1:29" ht="12.9" customHeight="1" x14ac:dyDescent="0.25">
      <c r="A37" s="4"/>
      <c r="B37" s="319" t="str">
        <f>IF(LINData!B23&lt;&gt;"",IF(LINData!C23&lt;&gt;"",LINData!B23,""),"")</f>
        <v/>
      </c>
      <c r="C37" s="320"/>
      <c r="D37" s="320"/>
      <c r="E37" s="429" t="str">
        <f>IF(LINData!B23&lt;&gt;"",IF(LINData!C23&lt;&gt;"",LINData!C23,""),"")</f>
        <v/>
      </c>
      <c r="F37" s="429"/>
      <c r="G37" s="429"/>
      <c r="H37" s="439" t="str">
        <f>IF(LINData!B23&lt;&gt;"",IF(LINData!C23&lt;&gt;"",LINData!E23,""),"")</f>
        <v/>
      </c>
      <c r="I37" s="439"/>
      <c r="J37" s="440"/>
      <c r="L37" s="333"/>
      <c r="M37" s="333"/>
      <c r="N37" s="333"/>
      <c r="O37" s="430"/>
      <c r="P37" s="430"/>
      <c r="Q37" s="430"/>
      <c r="R37" s="430"/>
      <c r="S37" s="430"/>
      <c r="T37" s="430"/>
      <c r="U37" s="430"/>
      <c r="V37" s="430"/>
      <c r="W37" s="430"/>
      <c r="X37" s="430"/>
      <c r="Y37" s="430"/>
      <c r="Z37" s="430"/>
      <c r="AA37" s="430"/>
      <c r="AB37" s="430"/>
      <c r="AC37" s="431"/>
    </row>
    <row r="38" spans="1:29" ht="12.9" customHeight="1" x14ac:dyDescent="0.25">
      <c r="A38" s="4"/>
      <c r="B38" s="319" t="str">
        <f>IF(LINData!B24&lt;&gt;"",IF(LINData!C24&lt;&gt;"",LINData!B24,""),"")</f>
        <v/>
      </c>
      <c r="C38" s="320"/>
      <c r="D38" s="320"/>
      <c r="E38" s="429" t="str">
        <f>IF(LINData!B24&lt;&gt;"",IF(LINData!C24&lt;&gt;"",LINData!C24,""),"")</f>
        <v/>
      </c>
      <c r="F38" s="429"/>
      <c r="G38" s="429"/>
      <c r="H38" s="439" t="str">
        <f>IF(LINData!B24&lt;&gt;"",IF(LINData!C24&lt;&gt;"",LINData!E24,""),"")</f>
        <v/>
      </c>
      <c r="I38" s="439"/>
      <c r="J38" s="440"/>
      <c r="L38" s="333"/>
      <c r="M38" s="333"/>
      <c r="N38" s="333"/>
      <c r="O38" s="430"/>
      <c r="P38" s="430"/>
      <c r="Q38" s="430"/>
      <c r="R38" s="430"/>
      <c r="S38" s="430"/>
      <c r="T38" s="430"/>
      <c r="U38" s="430"/>
      <c r="V38" s="430"/>
      <c r="W38" s="430"/>
      <c r="X38" s="430"/>
      <c r="Y38" s="430"/>
      <c r="Z38" s="430"/>
      <c r="AA38" s="430"/>
      <c r="AB38" s="430"/>
      <c r="AC38" s="431"/>
    </row>
    <row r="39" spans="1:29" ht="12.9" customHeight="1" x14ac:dyDescent="0.25">
      <c r="A39" s="28"/>
      <c r="B39" s="319" t="str">
        <f>IF(LINData!B25&lt;&gt;"",IF(LINData!C25&lt;&gt;"",LINData!B25,""),"")</f>
        <v/>
      </c>
      <c r="C39" s="320"/>
      <c r="D39" s="320"/>
      <c r="E39" s="429" t="str">
        <f>IF(LINData!B25&lt;&gt;"",IF(LINData!C25&lt;&gt;"",LINData!C25,""),"")</f>
        <v/>
      </c>
      <c r="F39" s="429"/>
      <c r="G39" s="429"/>
      <c r="H39" s="439" t="str">
        <f>IF(LINData!B25&lt;&gt;"",IF(LINData!C25&lt;&gt;"",LINData!E25,""),"")</f>
        <v/>
      </c>
      <c r="I39" s="439"/>
      <c r="J39" s="440"/>
      <c r="L39" s="333"/>
      <c r="M39" s="333"/>
      <c r="N39" s="333"/>
      <c r="O39" s="430"/>
      <c r="P39" s="430"/>
      <c r="Q39" s="430"/>
      <c r="R39" s="430"/>
      <c r="S39" s="430"/>
      <c r="T39" s="430"/>
      <c r="U39" s="430"/>
      <c r="V39" s="430"/>
      <c r="W39" s="430"/>
      <c r="X39" s="430"/>
      <c r="Y39" s="430"/>
      <c r="Z39" s="430"/>
      <c r="AA39" s="430"/>
      <c r="AB39" s="430"/>
      <c r="AC39" s="431"/>
    </row>
    <row r="40" spans="1:29" ht="12.9" customHeight="1" x14ac:dyDescent="0.25">
      <c r="A40" s="29"/>
      <c r="B40" s="319" t="str">
        <f>IF(LINData!B26&lt;&gt;"",IF(LINData!C26&lt;&gt;"",LINData!B26,""),"")</f>
        <v/>
      </c>
      <c r="C40" s="320"/>
      <c r="D40" s="320"/>
      <c r="E40" s="429" t="str">
        <f>IF(LINData!B26&lt;&gt;"",IF(LINData!C26&lt;&gt;"",LINData!C26,""),"")</f>
        <v/>
      </c>
      <c r="F40" s="429"/>
      <c r="G40" s="429"/>
      <c r="H40" s="439" t="str">
        <f>IF(LINData!B26&lt;&gt;"",IF(LINData!C26&lt;&gt;"",LINData!E26,""),"")</f>
        <v/>
      </c>
      <c r="I40" s="439"/>
      <c r="J40" s="440"/>
      <c r="L40" s="333"/>
      <c r="M40" s="333"/>
      <c r="N40" s="333"/>
      <c r="O40" s="430"/>
      <c r="P40" s="430"/>
      <c r="Q40" s="430"/>
      <c r="R40" s="430"/>
      <c r="S40" s="430"/>
      <c r="T40" s="430"/>
      <c r="U40" s="430"/>
      <c r="V40" s="430"/>
      <c r="W40" s="430"/>
      <c r="X40" s="430"/>
      <c r="Y40" s="430"/>
      <c r="Z40" s="430"/>
      <c r="AA40" s="430"/>
      <c r="AB40" s="430"/>
      <c r="AC40" s="431"/>
    </row>
    <row r="41" spans="1:29" ht="12.9" customHeight="1" x14ac:dyDescent="0.25">
      <c r="A41" s="4"/>
      <c r="B41" s="319" t="str">
        <f>IF(LINData!B27&lt;&gt;"",IF(LINData!C27&lt;&gt;"",LINData!B27,""),"")</f>
        <v/>
      </c>
      <c r="C41" s="320"/>
      <c r="D41" s="320"/>
      <c r="E41" s="429" t="str">
        <f>IF(LINData!B27&lt;&gt;"",IF(LINData!C27&lt;&gt;"",LINData!C27,""),"")</f>
        <v/>
      </c>
      <c r="F41" s="429"/>
      <c r="G41" s="429"/>
      <c r="H41" s="439" t="str">
        <f>IF(LINData!B27&lt;&gt;"",IF(LINData!C27&lt;&gt;"",LINData!E27,""),"")</f>
        <v/>
      </c>
      <c r="I41" s="439"/>
      <c r="J41" s="440"/>
      <c r="L41" s="428" t="s">
        <v>268</v>
      </c>
      <c r="M41" s="428"/>
      <c r="N41" s="428"/>
      <c r="O41" s="430"/>
      <c r="P41" s="430"/>
      <c r="Q41" s="430"/>
      <c r="R41" s="430"/>
      <c r="S41" s="430"/>
      <c r="T41" s="430"/>
      <c r="U41" s="430"/>
      <c r="V41" s="430"/>
      <c r="W41" s="430"/>
      <c r="X41" s="430"/>
      <c r="Y41" s="430"/>
      <c r="Z41" s="430"/>
      <c r="AA41" s="430"/>
      <c r="AB41" s="430"/>
      <c r="AC41" s="431"/>
    </row>
    <row r="42" spans="1:29" ht="12.9" customHeight="1" x14ac:dyDescent="0.25">
      <c r="A42" s="4"/>
      <c r="B42" s="319" t="str">
        <f>IF(LINData!B28&lt;&gt;"",IF(LINData!C28&lt;&gt;"",LINData!B28,""),"")</f>
        <v/>
      </c>
      <c r="C42" s="320"/>
      <c r="D42" s="320"/>
      <c r="E42" s="429" t="str">
        <f>IF(LINData!B28&lt;&gt;"",IF(LINData!C28&lt;&gt;"",LINData!C28,""),"")</f>
        <v/>
      </c>
      <c r="F42" s="429"/>
      <c r="G42" s="429"/>
      <c r="H42" s="439" t="str">
        <f>IF(LINData!B28&lt;&gt;"",IF(LINData!C28&lt;&gt;"",LINData!E28,""),"")</f>
        <v/>
      </c>
      <c r="I42" s="439"/>
      <c r="J42" s="440"/>
      <c r="L42" s="333"/>
      <c r="M42" s="333"/>
      <c r="N42" s="333"/>
      <c r="O42" s="430"/>
      <c r="P42" s="430"/>
      <c r="Q42" s="430"/>
      <c r="R42" s="430"/>
      <c r="S42" s="430"/>
      <c r="T42" s="430"/>
      <c r="U42" s="430"/>
      <c r="V42" s="430"/>
      <c r="W42" s="430"/>
      <c r="X42" s="430"/>
      <c r="Y42" s="430"/>
      <c r="Z42" s="430"/>
      <c r="AA42" s="430"/>
      <c r="AB42" s="430"/>
      <c r="AC42" s="431"/>
    </row>
    <row r="43" spans="1:29" ht="12.9" customHeight="1" x14ac:dyDescent="0.25">
      <c r="A43" s="4"/>
      <c r="B43" s="319" t="str">
        <f>IF(LINData!B29&lt;&gt;"",IF(LINData!C29&lt;&gt;"",LINData!B29,""),"")</f>
        <v/>
      </c>
      <c r="C43" s="320"/>
      <c r="D43" s="320"/>
      <c r="E43" s="429" t="str">
        <f>IF(LINData!B29&lt;&gt;"",IF(LINData!C29&lt;&gt;"",LINData!C29,""),"")</f>
        <v/>
      </c>
      <c r="F43" s="429"/>
      <c r="G43" s="429"/>
      <c r="H43" s="439" t="str">
        <f>IF(LINData!B29&lt;&gt;"",IF(LINData!C29&lt;&gt;"",LINData!E29,""),"")</f>
        <v/>
      </c>
      <c r="I43" s="439"/>
      <c r="J43" s="440"/>
      <c r="L43" s="333"/>
      <c r="M43" s="333"/>
      <c r="N43" s="333"/>
      <c r="O43" s="430"/>
      <c r="P43" s="430"/>
      <c r="Q43" s="430"/>
      <c r="R43" s="430"/>
      <c r="S43" s="430"/>
      <c r="T43" s="430"/>
      <c r="U43" s="430"/>
      <c r="V43" s="430"/>
      <c r="W43" s="430"/>
      <c r="X43" s="430"/>
      <c r="Y43" s="430"/>
      <c r="Z43" s="430"/>
      <c r="AA43" s="430"/>
      <c r="AB43" s="430"/>
      <c r="AC43" s="431"/>
    </row>
    <row r="44" spans="1:29" ht="12.9" customHeight="1" x14ac:dyDescent="0.25">
      <c r="A44" s="4"/>
      <c r="B44" s="319" t="str">
        <f>IF(LINData!B30&lt;&gt;"",IF(LINData!C30&lt;&gt;"",LINData!B30,""),"")</f>
        <v/>
      </c>
      <c r="C44" s="320"/>
      <c r="D44" s="320"/>
      <c r="E44" s="429" t="str">
        <f>IF(LINData!B30&lt;&gt;"",IF(LINData!C30&lt;&gt;"",LINData!C30,""),"")</f>
        <v/>
      </c>
      <c r="F44" s="429"/>
      <c r="G44" s="429"/>
      <c r="H44" s="439" t="str">
        <f>IF(LINData!B30&lt;&gt;"",IF(LINData!C30&lt;&gt;"",LINData!E30,""),"")</f>
        <v/>
      </c>
      <c r="I44" s="439"/>
      <c r="J44" s="440"/>
      <c r="L44" s="333"/>
      <c r="M44" s="333"/>
      <c r="N44" s="333"/>
      <c r="O44" s="430"/>
      <c r="P44" s="430"/>
      <c r="Q44" s="430"/>
      <c r="R44" s="430"/>
      <c r="S44" s="430"/>
      <c r="T44" s="430"/>
      <c r="U44" s="430"/>
      <c r="V44" s="430"/>
      <c r="W44" s="430"/>
      <c r="X44" s="430"/>
      <c r="Y44" s="430"/>
      <c r="Z44" s="430"/>
      <c r="AA44" s="430"/>
      <c r="AB44" s="430"/>
      <c r="AC44" s="431"/>
    </row>
    <row r="45" spans="1:29" ht="12.9" customHeight="1" x14ac:dyDescent="0.25">
      <c r="A45" s="4"/>
      <c r="B45" s="319" t="str">
        <f>IF(LINData!B31&lt;&gt;"",IF(LINData!C31&lt;&gt;"",LINData!B31,""),"")</f>
        <v/>
      </c>
      <c r="C45" s="320"/>
      <c r="D45" s="320"/>
      <c r="E45" s="429" t="str">
        <f>IF(LINData!B31&lt;&gt;"",IF(LINData!C31&lt;&gt;"",LINData!C31,""),"")</f>
        <v/>
      </c>
      <c r="F45" s="429"/>
      <c r="G45" s="429"/>
      <c r="H45" s="439" t="str">
        <f>IF(LINData!B31&lt;&gt;"",IF(LINData!C31&lt;&gt;"",LINData!E31,""),"")</f>
        <v/>
      </c>
      <c r="I45" s="439"/>
      <c r="J45" s="440"/>
      <c r="L45" s="333"/>
      <c r="M45" s="333"/>
      <c r="N45" s="333"/>
      <c r="O45" s="430"/>
      <c r="P45" s="430"/>
      <c r="Q45" s="430"/>
      <c r="R45" s="430"/>
      <c r="S45" s="430"/>
      <c r="T45" s="430"/>
      <c r="U45" s="430"/>
      <c r="V45" s="430"/>
      <c r="W45" s="430"/>
      <c r="X45" s="430"/>
      <c r="Y45" s="430"/>
      <c r="Z45" s="430"/>
      <c r="AA45" s="430"/>
      <c r="AB45" s="430"/>
      <c r="AC45" s="431"/>
    </row>
    <row r="46" spans="1:29" ht="12.9" customHeight="1" x14ac:dyDescent="0.25">
      <c r="A46" s="4"/>
      <c r="B46" s="319" t="str">
        <f>IF(LINData!B32&lt;&gt;"",IF(LINData!C32&lt;&gt;"",LINData!B32,""),"")</f>
        <v/>
      </c>
      <c r="C46" s="320"/>
      <c r="D46" s="320"/>
      <c r="E46" s="429" t="str">
        <f>IF(LINData!B32&lt;&gt;"",IF(LINData!C32&lt;&gt;"",LINData!C32,""),"")</f>
        <v/>
      </c>
      <c r="F46" s="429"/>
      <c r="G46" s="429"/>
      <c r="H46" s="439" t="str">
        <f>IF(LINData!B32&lt;&gt;"",IF(LINData!C32&lt;&gt;"",LINData!E32,""),"")</f>
        <v/>
      </c>
      <c r="I46" s="439"/>
      <c r="J46" s="440"/>
      <c r="L46" s="333"/>
      <c r="M46" s="333"/>
      <c r="N46" s="333"/>
      <c r="O46" s="430"/>
      <c r="P46" s="430"/>
      <c r="Q46" s="430"/>
      <c r="R46" s="430"/>
      <c r="S46" s="430"/>
      <c r="T46" s="430"/>
      <c r="U46" s="430"/>
      <c r="V46" s="430"/>
      <c r="W46" s="430"/>
      <c r="X46" s="430"/>
      <c r="Y46" s="430"/>
      <c r="Z46" s="430"/>
      <c r="AA46" s="430"/>
      <c r="AB46" s="430"/>
      <c r="AC46" s="431"/>
    </row>
    <row r="47" spans="1:29" ht="12.9" customHeight="1" x14ac:dyDescent="0.25">
      <c r="A47" s="4"/>
      <c r="B47" s="319" t="str">
        <f>IF(LINData!B33&lt;&gt;"",IF(LINData!C33&lt;&gt;"",LINData!B33,""),"")</f>
        <v/>
      </c>
      <c r="C47" s="320"/>
      <c r="D47" s="320"/>
      <c r="E47" s="429" t="str">
        <f>IF(LINData!B33&lt;&gt;"",IF(LINData!C33&lt;&gt;"",LINData!C33,""),"")</f>
        <v/>
      </c>
      <c r="F47" s="429"/>
      <c r="G47" s="429"/>
      <c r="H47" s="439" t="str">
        <f>IF(LINData!B33&lt;&gt;"",IF(LINData!C33&lt;&gt;"",LINData!E33,""),"")</f>
        <v/>
      </c>
      <c r="I47" s="439"/>
      <c r="J47" s="440"/>
      <c r="L47" s="2" t="s">
        <v>245</v>
      </c>
      <c r="U47" s="2" t="s">
        <v>270</v>
      </c>
      <c r="AC47" s="5"/>
    </row>
    <row r="48" spans="1:29" ht="12.9" customHeight="1" x14ac:dyDescent="0.25">
      <c r="A48" s="4"/>
      <c r="B48" s="319" t="str">
        <f>IF(LINData!B34&lt;&gt;"",IF(LINData!C34&lt;&gt;"",LINData!B34,""),"")</f>
        <v/>
      </c>
      <c r="C48" s="320"/>
      <c r="D48" s="320"/>
      <c r="E48" s="429" t="str">
        <f>IF(LINData!B34&lt;&gt;"",IF(LINData!C34&lt;&gt;"",LINData!C34,""),"")</f>
        <v/>
      </c>
      <c r="F48" s="429"/>
      <c r="G48" s="429"/>
      <c r="H48" s="439" t="str">
        <f>IF(LINData!B34&lt;&gt;"",IF(LINData!C34&lt;&gt;"",LINData!E34,""),"")</f>
        <v/>
      </c>
      <c r="I48" s="439"/>
      <c r="J48" s="440"/>
      <c r="L48" s="21" t="s">
        <v>246</v>
      </c>
      <c r="O48" s="52"/>
      <c r="P48" s="52"/>
      <c r="Q48" s="43"/>
      <c r="R48" s="43"/>
      <c r="S48" s="43"/>
      <c r="T48" s="43"/>
      <c r="U48" s="350" t="s">
        <v>249</v>
      </c>
      <c r="V48" s="350"/>
      <c r="W48" s="350"/>
      <c r="X48" s="350"/>
      <c r="Y48" s="364"/>
      <c r="Z48" s="364"/>
      <c r="AA48" s="50" t="s">
        <v>36</v>
      </c>
      <c r="AC48" s="5"/>
    </row>
    <row r="49" spans="1:29" ht="12.9" customHeight="1" x14ac:dyDescent="0.25">
      <c r="A49" s="4"/>
      <c r="B49" s="319" t="str">
        <f>IF(LINData!B35&lt;&gt;"",IF(LINData!C35&lt;&gt;"",LINData!B35,""),"")</f>
        <v/>
      </c>
      <c r="C49" s="320"/>
      <c r="D49" s="320"/>
      <c r="E49" s="429" t="str">
        <f>IF(LINData!B35&lt;&gt;"",IF(LINData!C35&lt;&gt;"",LINData!C35,""),"")</f>
        <v/>
      </c>
      <c r="F49" s="429"/>
      <c r="G49" s="429"/>
      <c r="H49" s="439" t="str">
        <f>IF(LINData!B35&lt;&gt;"",IF(LINData!C35&lt;&gt;"",LINData!E35,""),"")</f>
        <v/>
      </c>
      <c r="I49" s="439"/>
      <c r="J49" s="440"/>
      <c r="L49" s="22" t="s">
        <v>247</v>
      </c>
      <c r="M49" s="22"/>
      <c r="N49" s="22"/>
      <c r="O49" s="43"/>
      <c r="P49" s="43"/>
      <c r="Q49" s="43"/>
      <c r="R49" s="43"/>
      <c r="S49" s="43"/>
      <c r="T49" s="43"/>
      <c r="U49" s="21"/>
      <c r="V49" s="21"/>
      <c r="W49" s="21"/>
      <c r="X49" s="21"/>
      <c r="Y49" s="42"/>
      <c r="Z49" s="42"/>
      <c r="AA49" s="21"/>
      <c r="AC49" s="5"/>
    </row>
    <row r="50" spans="1:29" ht="12.9" customHeight="1" x14ac:dyDescent="0.25">
      <c r="A50" s="4"/>
      <c r="B50" s="319" t="str">
        <f>IF(LINData!B36&lt;&gt;"",IF(LINData!C36&lt;&gt;"",LINData!B36,""),"")</f>
        <v/>
      </c>
      <c r="C50" s="320"/>
      <c r="D50" s="320"/>
      <c r="E50" s="429" t="str">
        <f>IF(LINData!B36&lt;&gt;"",IF(LINData!C36&lt;&gt;"",LINData!C36,""),"")</f>
        <v/>
      </c>
      <c r="F50" s="429"/>
      <c r="G50" s="429"/>
      <c r="H50" s="439" t="str">
        <f>IF(LINData!B36&lt;&gt;"",IF(LINData!C36&lt;&gt;"",LINData!E36,""),"")</f>
        <v/>
      </c>
      <c r="I50" s="439"/>
      <c r="J50" s="440"/>
      <c r="U50" s="22" t="s">
        <v>250</v>
      </c>
      <c r="V50" s="22"/>
      <c r="W50" s="22"/>
      <c r="X50" s="22"/>
      <c r="Y50" s="53"/>
      <c r="Z50" s="51"/>
      <c r="AA50" s="50" t="s">
        <v>10</v>
      </c>
      <c r="AC50" s="5"/>
    </row>
    <row r="51" spans="1:29" ht="12.9" customHeight="1" x14ac:dyDescent="0.25">
      <c r="A51" s="4"/>
      <c r="B51" s="319" t="str">
        <f>IF(LINData!B37&lt;&gt;"",IF(LINData!C37&lt;&gt;"",LINData!B37,""),"")</f>
        <v/>
      </c>
      <c r="C51" s="320"/>
      <c r="D51" s="320"/>
      <c r="E51" s="429" t="str">
        <f>IF(LINData!B37&lt;&gt;"",IF(LINData!C37&lt;&gt;"",LINData!C37,""),"")</f>
        <v/>
      </c>
      <c r="F51" s="429"/>
      <c r="G51" s="429"/>
      <c r="H51" s="439" t="str">
        <f>IF(LINData!B37&lt;&gt;"",IF(LINData!C37&lt;&gt;"",LINData!E37,""),"")</f>
        <v/>
      </c>
      <c r="I51" s="439"/>
      <c r="J51" s="440"/>
      <c r="AC51" s="5"/>
    </row>
    <row r="52" spans="1:29" ht="12.9" customHeight="1" x14ac:dyDescent="0.25">
      <c r="A52" s="4"/>
      <c r="B52" s="319" t="str">
        <f>IF(LINData!B38&lt;&gt;"",IF(LINData!C38&lt;&gt;"",LINData!B38,""),"")</f>
        <v/>
      </c>
      <c r="C52" s="320"/>
      <c r="D52" s="320"/>
      <c r="E52" s="429" t="str">
        <f>IF(LINData!B38&lt;&gt;"",IF(LINData!C38&lt;&gt;"",LINData!C38,""),"")</f>
        <v/>
      </c>
      <c r="F52" s="429"/>
      <c r="G52" s="429"/>
      <c r="H52" s="439" t="str">
        <f>IF(LINData!B38&lt;&gt;"",IF(LINData!C38&lt;&gt;"",LINData!E38,""),"")</f>
        <v/>
      </c>
      <c r="I52" s="439"/>
      <c r="J52" s="440"/>
      <c r="AC52" s="5"/>
    </row>
    <row r="53" spans="1:29" ht="12.9" customHeight="1" x14ac:dyDescent="0.25">
      <c r="A53" s="4"/>
      <c r="B53" s="319" t="str">
        <f>IF(LINData!B39&lt;&gt;"",IF(LINData!C39&lt;&gt;"",LINData!B39,""),"")</f>
        <v/>
      </c>
      <c r="C53" s="320"/>
      <c r="D53" s="320"/>
      <c r="E53" s="429" t="str">
        <f>IF(LINData!B39&lt;&gt;"",IF(LINData!C39&lt;&gt;"",LINData!C39,""),"")</f>
        <v/>
      </c>
      <c r="F53" s="429"/>
      <c r="G53" s="429"/>
      <c r="H53" s="439" t="str">
        <f>IF(LINData!B39&lt;&gt;"",IF(LINData!C39&lt;&gt;"",LINData!E39,""),"")</f>
        <v/>
      </c>
      <c r="I53" s="439"/>
      <c r="J53" s="440"/>
      <c r="AC53" s="5"/>
    </row>
    <row r="54" spans="1:29" ht="12.9" customHeight="1" x14ac:dyDescent="0.25">
      <c r="A54" s="4"/>
      <c r="B54" s="319" t="str">
        <f>IF(LINData!B40&lt;&gt;"",IF(LINData!C40&lt;&gt;"",LINData!B40,""),"")</f>
        <v/>
      </c>
      <c r="C54" s="320"/>
      <c r="D54" s="320"/>
      <c r="E54" s="429" t="str">
        <f>IF(LINData!B40&lt;&gt;"",IF(LINData!C40&lt;&gt;"",LINData!C40,""),"")</f>
        <v/>
      </c>
      <c r="F54" s="429"/>
      <c r="G54" s="429"/>
      <c r="H54" s="439" t="str">
        <f>IF(LINData!B40&lt;&gt;"",IF(LINData!C40&lt;&gt;"",LINData!E40,""),"")</f>
        <v/>
      </c>
      <c r="I54" s="439"/>
      <c r="J54" s="440"/>
      <c r="L54" s="2" t="s">
        <v>279</v>
      </c>
      <c r="AC54" s="5"/>
    </row>
    <row r="55" spans="1:29" ht="12.9" customHeight="1" x14ac:dyDescent="0.25">
      <c r="A55" s="4"/>
      <c r="B55" s="319" t="str">
        <f>IF(LINData!B41&lt;&gt;"",IF(LINData!C41&lt;&gt;"",LINData!B41,""),"")</f>
        <v/>
      </c>
      <c r="C55" s="320"/>
      <c r="D55" s="320"/>
      <c r="E55" s="429" t="str">
        <f>IF(LINData!B41&lt;&gt;"",IF(LINData!C41&lt;&gt;"",LINData!C41,""),"")</f>
        <v/>
      </c>
      <c r="F55" s="429"/>
      <c r="G55" s="429"/>
      <c r="H55" s="439" t="str">
        <f>IF(LINData!B41&lt;&gt;"",IF(LINData!C41&lt;&gt;"",LINData!E41,""),"")</f>
        <v/>
      </c>
      <c r="I55" s="439"/>
      <c r="J55" s="440"/>
      <c r="L55" s="456" t="s">
        <v>251</v>
      </c>
      <c r="M55" s="456"/>
      <c r="N55" s="456"/>
      <c r="O55" s="452"/>
      <c r="P55" s="452"/>
      <c r="Q55" s="452"/>
      <c r="R55" s="452"/>
      <c r="S55" s="452"/>
      <c r="T55" s="452"/>
      <c r="U55" s="443" t="s">
        <v>252</v>
      </c>
      <c r="V55" s="443"/>
      <c r="W55" s="443"/>
      <c r="X55" s="443"/>
      <c r="Y55" s="444">
        <f>LINRaw!B3</f>
        <v>0</v>
      </c>
      <c r="Z55" s="444"/>
      <c r="AA55" s="444"/>
      <c r="AB55" s="444"/>
      <c r="AC55" s="445"/>
    </row>
    <row r="56" spans="1:29" x14ac:dyDescent="0.25">
      <c r="A56" s="4"/>
      <c r="B56" s="319" t="str">
        <f>IF(LINData!B42&lt;&gt;"",IF(LINData!C42&lt;&gt;"",LINData!B42,""),"")</f>
        <v/>
      </c>
      <c r="C56" s="320"/>
      <c r="D56" s="320"/>
      <c r="E56" s="429" t="str">
        <f>IF(LINData!B42&lt;&gt;"",IF(LINData!C42&lt;&gt;"",LINData!C42,""),"")</f>
        <v/>
      </c>
      <c r="F56" s="429"/>
      <c r="G56" s="429"/>
      <c r="H56" s="439" t="str">
        <f>IF(LINData!B42&lt;&gt;"",IF(LINData!C42&lt;&gt;"",LINData!E42,""),"")</f>
        <v/>
      </c>
      <c r="I56" s="439"/>
      <c r="J56" s="440"/>
      <c r="L56" s="456" t="s">
        <v>271</v>
      </c>
      <c r="M56" s="456"/>
      <c r="N56" s="456"/>
      <c r="O56" s="452"/>
      <c r="P56" s="452"/>
      <c r="Q56" s="452"/>
      <c r="R56" s="452"/>
      <c r="S56" s="452"/>
      <c r="T56" s="452"/>
      <c r="U56" s="443" t="s">
        <v>253</v>
      </c>
      <c r="V56" s="443"/>
      <c r="W56" s="443"/>
      <c r="X56" s="443"/>
      <c r="Y56" s="448">
        <f>LINRaw!C3</f>
        <v>0</v>
      </c>
      <c r="Z56" s="448"/>
      <c r="AA56" s="448"/>
      <c r="AB56" s="448"/>
      <c r="AC56" s="449"/>
    </row>
    <row r="57" spans="1:29" ht="13.8" thickBot="1" x14ac:dyDescent="0.3">
      <c r="A57" s="4"/>
      <c r="B57" s="326" t="str">
        <f>IF(LINData!B43&lt;&gt;"",IF(LINData!C43&lt;&gt;"",LINData!B43,""),"")</f>
        <v/>
      </c>
      <c r="C57" s="327"/>
      <c r="D57" s="327"/>
      <c r="E57" s="453" t="str">
        <f>IF(LINData!B43&lt;&gt;"",IF(LINData!C43&lt;&gt;"",LINData!C43,""),"")</f>
        <v/>
      </c>
      <c r="F57" s="453"/>
      <c r="G57" s="453"/>
      <c r="H57" s="454" t="str">
        <f>IF(LINData!B43&lt;&gt;"",IF(LINData!C43&lt;&gt;"",LINData!E43,""),"")</f>
        <v/>
      </c>
      <c r="I57" s="454"/>
      <c r="J57" s="455"/>
      <c r="L57" s="26"/>
      <c r="M57" s="26"/>
      <c r="N57" s="26"/>
      <c r="O57" s="26"/>
      <c r="P57" s="26"/>
      <c r="Q57" s="26"/>
      <c r="R57" s="26"/>
      <c r="S57" s="26"/>
      <c r="T57" s="26"/>
      <c r="U57" s="443" t="s">
        <v>254</v>
      </c>
      <c r="V57" s="443"/>
      <c r="W57" s="443"/>
      <c r="X57" s="443"/>
      <c r="Y57" s="450"/>
      <c r="Z57" s="450"/>
      <c r="AA57" s="450"/>
      <c r="AB57" s="450"/>
      <c r="AC57" s="451"/>
    </row>
    <row r="58" spans="1:29" ht="13.8" thickBot="1" x14ac:dyDescent="0.3">
      <c r="A58" s="12"/>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4"/>
    </row>
    <row r="59" spans="1:29" x14ac:dyDescent="0.25"/>
    <row r="60" spans="1:29" x14ac:dyDescent="0.25"/>
  </sheetData>
  <sheetProtection algorithmName="SHA-512" hashValue="dDJVnaDy0/jg9d0utk+SMqz3HjPQDFJ3/GP9kycv/3aXUwh+cQ7m4lJxta2hhJZkx82BgF+OoNRyYH8V1rpUPA==" saltValue="vxodYM9HH3xo603aX6NDdw==" spinCount="100000" sheet="1" formatCells="0" selectLockedCells="1"/>
  <mergeCells count="179">
    <mergeCell ref="L31:AC32"/>
    <mergeCell ref="E50:G50"/>
    <mergeCell ref="E49:G49"/>
    <mergeCell ref="B52:D52"/>
    <mergeCell ref="E52:G52"/>
    <mergeCell ref="H52:J52"/>
    <mergeCell ref="Y56:AC56"/>
    <mergeCell ref="U56:X56"/>
    <mergeCell ref="U57:X57"/>
    <mergeCell ref="Y57:AC57"/>
    <mergeCell ref="O56:T56"/>
    <mergeCell ref="H53:J53"/>
    <mergeCell ref="B57:D57"/>
    <mergeCell ref="E57:G57"/>
    <mergeCell ref="H57:J57"/>
    <mergeCell ref="H56:J56"/>
    <mergeCell ref="L56:N56"/>
    <mergeCell ref="B56:D56"/>
    <mergeCell ref="E56:G56"/>
    <mergeCell ref="E54:G54"/>
    <mergeCell ref="O55:T55"/>
    <mergeCell ref="L55:N55"/>
    <mergeCell ref="B53:D53"/>
    <mergeCell ref="E53:G53"/>
    <mergeCell ref="B54:D54"/>
    <mergeCell ref="L34:AC34"/>
    <mergeCell ref="H48:J48"/>
    <mergeCell ref="B42:D42"/>
    <mergeCell ref="B37:D37"/>
    <mergeCell ref="H40:J40"/>
    <mergeCell ref="B50:D50"/>
    <mergeCell ref="B49:D49"/>
    <mergeCell ref="U55:X55"/>
    <mergeCell ref="Y55:AC55"/>
    <mergeCell ref="B43:D43"/>
    <mergeCell ref="B44:D44"/>
    <mergeCell ref="H54:J54"/>
    <mergeCell ref="B55:D55"/>
    <mergeCell ref="E55:G55"/>
    <mergeCell ref="H55:J55"/>
    <mergeCell ref="B51:D51"/>
    <mergeCell ref="E51:G51"/>
    <mergeCell ref="H51:J51"/>
    <mergeCell ref="B47:D47"/>
    <mergeCell ref="B46:D46"/>
    <mergeCell ref="E46:G46"/>
    <mergeCell ref="H46:J46"/>
    <mergeCell ref="H49:J49"/>
    <mergeCell ref="H50:J50"/>
    <mergeCell ref="Y48:Z48"/>
    <mergeCell ref="E47:G47"/>
    <mergeCell ref="H47:J47"/>
    <mergeCell ref="E43:G43"/>
    <mergeCell ref="H45:J45"/>
    <mergeCell ref="H43:J43"/>
    <mergeCell ref="B45:D45"/>
    <mergeCell ref="B48:D48"/>
    <mergeCell ref="U48:X48"/>
    <mergeCell ref="E48:G48"/>
    <mergeCell ref="E44:G44"/>
    <mergeCell ref="E45:G45"/>
    <mergeCell ref="H44:J44"/>
    <mergeCell ref="L44:N44"/>
    <mergeCell ref="O44:AC44"/>
    <mergeCell ref="L45:N45"/>
    <mergeCell ref="L46:N46"/>
    <mergeCell ref="O46:AC46"/>
    <mergeCell ref="O45:AC45"/>
    <mergeCell ref="H31:J31"/>
    <mergeCell ref="E42:G42"/>
    <mergeCell ref="E40:G40"/>
    <mergeCell ref="E29:G29"/>
    <mergeCell ref="E30:G30"/>
    <mergeCell ref="B32:D32"/>
    <mergeCell ref="B38:D38"/>
    <mergeCell ref="B36:D36"/>
    <mergeCell ref="B31:D31"/>
    <mergeCell ref="E38:G38"/>
    <mergeCell ref="B34:D34"/>
    <mergeCell ref="E36:G36"/>
    <mergeCell ref="E33:G33"/>
    <mergeCell ref="E39:G39"/>
    <mergeCell ref="E37:G37"/>
    <mergeCell ref="B41:D41"/>
    <mergeCell ref="B35:D35"/>
    <mergeCell ref="E35:G35"/>
    <mergeCell ref="B33:D33"/>
    <mergeCell ref="H41:J41"/>
    <mergeCell ref="E41:G41"/>
    <mergeCell ref="H42:J42"/>
    <mergeCell ref="H38:J38"/>
    <mergeCell ref="H39:J39"/>
    <mergeCell ref="V7:X7"/>
    <mergeCell ref="A2:AC2"/>
    <mergeCell ref="B4:F4"/>
    <mergeCell ref="J4:N4"/>
    <mergeCell ref="J9:N9"/>
    <mergeCell ref="O9:Q9"/>
    <mergeCell ref="V4:AB4"/>
    <mergeCell ref="V5:X5"/>
    <mergeCell ref="B6:D6"/>
    <mergeCell ref="O5:Q5"/>
    <mergeCell ref="E5:I5"/>
    <mergeCell ref="B7:D7"/>
    <mergeCell ref="E7:I7"/>
    <mergeCell ref="E8:I8"/>
    <mergeCell ref="J7:N7"/>
    <mergeCell ref="R7:T7"/>
    <mergeCell ref="B8:D8"/>
    <mergeCell ref="Y5:AA5"/>
    <mergeCell ref="AB8:AC8"/>
    <mergeCell ref="R8:T8"/>
    <mergeCell ref="J8:N8"/>
    <mergeCell ref="O8:Q8"/>
    <mergeCell ref="AB5:AC5"/>
    <mergeCell ref="V6:X6"/>
    <mergeCell ref="Y8:AA8"/>
    <mergeCell ref="H30:J30"/>
    <mergeCell ref="Y9:AA9"/>
    <mergeCell ref="L28:AC28"/>
    <mergeCell ref="L27:M27"/>
    <mergeCell ref="R9:T9"/>
    <mergeCell ref="A11:AC25"/>
    <mergeCell ref="V9:X9"/>
    <mergeCell ref="H27:J27"/>
    <mergeCell ref="E28:G28"/>
    <mergeCell ref="H28:J28"/>
    <mergeCell ref="E27:G27"/>
    <mergeCell ref="B10:H10"/>
    <mergeCell ref="H29:J29"/>
    <mergeCell ref="AB9:AC9"/>
    <mergeCell ref="L39:N39"/>
    <mergeCell ref="L40:N40"/>
    <mergeCell ref="Y7:AA7"/>
    <mergeCell ref="B5:D5"/>
    <mergeCell ref="J5:N5"/>
    <mergeCell ref="R6:T6"/>
    <mergeCell ref="E6:I6"/>
    <mergeCell ref="O6:Q6"/>
    <mergeCell ref="L33:AC33"/>
    <mergeCell ref="H37:J37"/>
    <mergeCell ref="H35:J35"/>
    <mergeCell ref="H33:J33"/>
    <mergeCell ref="H36:J36"/>
    <mergeCell ref="H34:J34"/>
    <mergeCell ref="H32:J32"/>
    <mergeCell ref="AB6:AC6"/>
    <mergeCell ref="O7:Q7"/>
    <mergeCell ref="R5:T5"/>
    <mergeCell ref="B27:D27"/>
    <mergeCell ref="B26:E26"/>
    <mergeCell ref="B30:D30"/>
    <mergeCell ref="B29:D29"/>
    <mergeCell ref="B28:D28"/>
    <mergeCell ref="V8:X8"/>
    <mergeCell ref="L41:N41"/>
    <mergeCell ref="L43:N43"/>
    <mergeCell ref="B40:D40"/>
    <mergeCell ref="E31:G31"/>
    <mergeCell ref="E32:G32"/>
    <mergeCell ref="B39:D39"/>
    <mergeCell ref="E34:G34"/>
    <mergeCell ref="AB7:AC7"/>
    <mergeCell ref="Y6:AA6"/>
    <mergeCell ref="O42:AC42"/>
    <mergeCell ref="O43:AC43"/>
    <mergeCell ref="L29:AC29"/>
    <mergeCell ref="L30:AC30"/>
    <mergeCell ref="L35:AC35"/>
    <mergeCell ref="O36:AC36"/>
    <mergeCell ref="L42:N42"/>
    <mergeCell ref="O37:AC37"/>
    <mergeCell ref="O38:AC38"/>
    <mergeCell ref="O39:AC39"/>
    <mergeCell ref="O40:AC40"/>
    <mergeCell ref="O41:AC41"/>
    <mergeCell ref="L36:N36"/>
    <mergeCell ref="L37:N37"/>
    <mergeCell ref="L38:N38"/>
  </mergeCells>
  <phoneticPr fontId="19" type="noConversion"/>
  <pageMargins left="0.45" right="0.35" top="0.7" bottom="0.4" header="0.5" footer="0.3"/>
  <pageSetup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dimension ref="A1:AF57"/>
  <sheetViews>
    <sheetView zoomScaleNormal="100" workbookViewId="0">
      <selection activeCell="E5" sqref="E5:I5"/>
    </sheetView>
  </sheetViews>
  <sheetFormatPr defaultColWidth="0" defaultRowHeight="13.2" zeroHeight="1" x14ac:dyDescent="0.25"/>
  <cols>
    <col min="1" max="1" width="3.6640625" style="1" customWidth="1"/>
    <col min="2" max="28" width="3.44140625" style="1" customWidth="1"/>
    <col min="29" max="29" width="3.109375" style="1" customWidth="1"/>
    <col min="30" max="30" width="9.109375" style="1" customWidth="1"/>
    <col min="31" max="16384" width="0" style="1" hidden="1"/>
  </cols>
  <sheetData>
    <row r="1" spans="1:32" ht="15" x14ac:dyDescent="0.25">
      <c r="A1" s="15"/>
      <c r="B1" s="3"/>
      <c r="C1" s="3"/>
      <c r="D1" s="3"/>
      <c r="E1" s="3"/>
      <c r="F1" s="3"/>
      <c r="G1" s="3"/>
      <c r="H1" s="3"/>
      <c r="I1" s="3"/>
      <c r="J1" s="3"/>
      <c r="K1" s="3"/>
      <c r="L1" s="3"/>
      <c r="M1" s="3"/>
      <c r="N1" s="3"/>
      <c r="O1" s="3"/>
      <c r="P1" s="3"/>
      <c r="Q1" s="3"/>
      <c r="R1" s="3"/>
      <c r="S1" s="3"/>
      <c r="T1" s="3"/>
      <c r="U1" s="3"/>
      <c r="V1" s="3"/>
      <c r="W1" s="3"/>
      <c r="X1" s="3"/>
      <c r="Y1" s="3"/>
      <c r="Z1" s="3"/>
      <c r="AA1" s="3"/>
      <c r="AB1" s="3"/>
      <c r="AC1" s="16"/>
    </row>
    <row r="2" spans="1:32" ht="21" x14ac:dyDescent="0.25">
      <c r="A2" s="366" t="s">
        <v>262</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8"/>
    </row>
    <row r="3" spans="1:32" x14ac:dyDescent="0.25">
      <c r="A3" s="17"/>
      <c r="B3" s="18"/>
      <c r="C3" s="18"/>
      <c r="D3" s="18"/>
      <c r="E3" s="18"/>
      <c r="F3" s="18"/>
      <c r="G3" s="18"/>
      <c r="H3" s="18"/>
      <c r="I3" s="18"/>
      <c r="J3" s="18"/>
      <c r="K3" s="18"/>
      <c r="L3" s="18"/>
      <c r="M3" s="18"/>
      <c r="N3" s="18"/>
      <c r="O3" s="18"/>
      <c r="U3" s="18"/>
      <c r="V3" s="18"/>
      <c r="W3" s="18"/>
      <c r="X3" s="18"/>
      <c r="Y3" s="18"/>
      <c r="Z3" s="18"/>
      <c r="AA3" s="18"/>
      <c r="AB3" s="18"/>
      <c r="AC3" s="19"/>
    </row>
    <row r="4" spans="1:32" ht="14.4" x14ac:dyDescent="0.3">
      <c r="A4" s="17"/>
      <c r="B4" s="369" t="s">
        <v>259</v>
      </c>
      <c r="C4" s="369"/>
      <c r="D4" s="369"/>
      <c r="E4" s="369"/>
      <c r="F4" s="369"/>
      <c r="G4" s="20"/>
      <c r="H4" s="20"/>
      <c r="I4" s="21"/>
      <c r="J4" s="369" t="s">
        <v>232</v>
      </c>
      <c r="K4" s="369"/>
      <c r="L4" s="369"/>
      <c r="M4" s="369"/>
      <c r="N4" s="369"/>
      <c r="O4" s="20"/>
      <c r="P4" s="20"/>
      <c r="Q4" s="20"/>
      <c r="R4" s="20"/>
      <c r="S4" s="20"/>
      <c r="T4" s="20"/>
      <c r="U4" s="33"/>
      <c r="V4" s="370" t="s">
        <v>233</v>
      </c>
      <c r="W4" s="370"/>
      <c r="X4" s="370"/>
      <c r="Y4" s="370"/>
      <c r="Z4" s="370"/>
      <c r="AA4" s="370"/>
      <c r="AB4" s="370"/>
      <c r="AC4" s="39"/>
      <c r="AE4" s="22"/>
      <c r="AF4" s="22"/>
    </row>
    <row r="5" spans="1:32" ht="14.4" x14ac:dyDescent="0.3">
      <c r="A5" s="23"/>
      <c r="B5" s="356" t="s">
        <v>256</v>
      </c>
      <c r="C5" s="356"/>
      <c r="D5" s="356"/>
      <c r="E5" s="342"/>
      <c r="F5" s="342"/>
      <c r="G5" s="342"/>
      <c r="H5" s="342"/>
      <c r="I5" s="371"/>
      <c r="J5" s="356" t="s">
        <v>273</v>
      </c>
      <c r="K5" s="356"/>
      <c r="L5" s="356"/>
      <c r="M5" s="356"/>
      <c r="N5" s="356"/>
      <c r="O5" s="372" t="str">
        <f>IF('Linfit Worksheet'!J12&lt;&gt;"",FIXED(ABS('Linfit Worksheet'!J12),3),"")</f>
        <v/>
      </c>
      <c r="P5" s="372"/>
      <c r="Q5" s="372"/>
      <c r="R5" s="377" t="str">
        <f>'Linfit Worksheet'!L2&amp;"/"&amp;'Linfit Worksheet'!K2</f>
        <v>mV/g pk</v>
      </c>
      <c r="S5" s="356"/>
      <c r="T5" s="356"/>
      <c r="U5" s="8"/>
      <c r="V5" s="351" t="s">
        <v>264</v>
      </c>
      <c r="W5" s="351"/>
      <c r="X5" s="351"/>
      <c r="Y5" s="334"/>
      <c r="Z5" s="334"/>
      <c r="AA5" s="334"/>
      <c r="AB5" s="374" t="str">
        <f>SLinMeasureRangeUnit</f>
        <v>g</v>
      </c>
      <c r="AC5" s="375"/>
    </row>
    <row r="6" spans="1:32" ht="14.4" x14ac:dyDescent="0.3">
      <c r="A6" s="23"/>
      <c r="B6" s="356" t="s">
        <v>257</v>
      </c>
      <c r="C6" s="356"/>
      <c r="D6" s="356"/>
      <c r="E6" s="318"/>
      <c r="F6" s="318"/>
      <c r="G6" s="318"/>
      <c r="H6" s="318"/>
      <c r="I6" s="354"/>
      <c r="J6" s="11"/>
      <c r="K6" s="11"/>
      <c r="L6" s="11"/>
      <c r="M6" s="11"/>
      <c r="N6" s="11"/>
      <c r="O6" s="376"/>
      <c r="P6" s="376"/>
      <c r="Q6" s="376"/>
      <c r="R6" s="356"/>
      <c r="S6" s="356"/>
      <c r="T6" s="356"/>
      <c r="U6" s="8"/>
      <c r="V6" s="373" t="str">
        <f>IF(MeasurementResolution&lt;0.000000001,"","分辨率:")</f>
        <v>分辨率:</v>
      </c>
      <c r="W6" s="373"/>
      <c r="X6" s="373"/>
      <c r="Y6" s="334"/>
      <c r="Z6" s="334"/>
      <c r="AA6" s="334"/>
      <c r="AB6" s="374" t="str">
        <f>IF(MeasurementResolution&lt;0.000000001,"",SLinMeasureRangeUnit)</f>
        <v>g</v>
      </c>
      <c r="AC6" s="375"/>
    </row>
    <row r="7" spans="1:32" ht="14.4" x14ac:dyDescent="0.3">
      <c r="A7" s="23"/>
      <c r="B7" s="356" t="s">
        <v>258</v>
      </c>
      <c r="C7" s="356"/>
      <c r="D7" s="356"/>
      <c r="E7" s="318"/>
      <c r="F7" s="318"/>
      <c r="G7" s="318"/>
      <c r="H7" s="318"/>
      <c r="I7" s="354"/>
      <c r="J7" s="356" t="s">
        <v>263</v>
      </c>
      <c r="K7" s="356"/>
      <c r="L7" s="356"/>
      <c r="M7" s="356"/>
      <c r="N7" s="356"/>
      <c r="O7" s="355" t="str">
        <f>IF(LINData!K11&lt;&gt;"",FIXED(LINData!K11*100,2),"")</f>
        <v>0.00</v>
      </c>
      <c r="P7" s="355"/>
      <c r="Q7" s="355"/>
      <c r="R7" s="356" t="s">
        <v>10</v>
      </c>
      <c r="S7" s="356"/>
      <c r="T7" s="356"/>
      <c r="U7" s="42"/>
      <c r="V7" s="351" t="s">
        <v>236</v>
      </c>
      <c r="W7" s="351"/>
      <c r="X7" s="351"/>
      <c r="Y7" s="334"/>
      <c r="Z7" s="334"/>
      <c r="AA7" s="334"/>
      <c r="AB7" s="374" t="str">
        <f>ResonantFrequencyUnits</f>
        <v>Hz</v>
      </c>
      <c r="AC7" s="375"/>
    </row>
    <row r="8" spans="1:32" ht="14.4" x14ac:dyDescent="0.3">
      <c r="A8" s="23"/>
      <c r="B8" s="356" t="s">
        <v>272</v>
      </c>
      <c r="C8" s="356"/>
      <c r="D8" s="356"/>
      <c r="E8" s="318"/>
      <c r="F8" s="318"/>
      <c r="G8" s="318"/>
      <c r="H8" s="318"/>
      <c r="I8" s="354"/>
      <c r="J8" s="342"/>
      <c r="K8" s="342"/>
      <c r="L8" s="342"/>
      <c r="M8" s="342"/>
      <c r="N8" s="342"/>
      <c r="O8" s="355"/>
      <c r="P8" s="355"/>
      <c r="Q8" s="355"/>
      <c r="R8" s="350"/>
      <c r="S8" s="350"/>
      <c r="T8" s="350"/>
      <c r="U8" s="42"/>
      <c r="V8" s="351" t="s">
        <v>237</v>
      </c>
      <c r="W8" s="351"/>
      <c r="X8" s="351"/>
      <c r="Y8" s="378"/>
      <c r="Z8" s="334"/>
      <c r="AA8" s="334"/>
      <c r="AB8" s="334" t="s">
        <v>35</v>
      </c>
      <c r="AC8" s="335"/>
    </row>
    <row r="9" spans="1:32" ht="13.8" x14ac:dyDescent="0.3">
      <c r="A9" s="24"/>
      <c r="B9" s="41"/>
      <c r="C9" s="41"/>
      <c r="D9" s="41"/>
      <c r="E9" s="22"/>
      <c r="F9" s="22"/>
      <c r="G9" s="22"/>
      <c r="H9" s="22"/>
      <c r="I9" s="22"/>
      <c r="J9" s="342"/>
      <c r="K9" s="342"/>
      <c r="L9" s="342"/>
      <c r="M9" s="342"/>
      <c r="N9" s="342"/>
      <c r="O9" s="355"/>
      <c r="P9" s="355"/>
      <c r="Q9" s="355"/>
      <c r="R9" s="350"/>
      <c r="S9" s="350"/>
      <c r="T9" s="350"/>
      <c r="U9" s="21"/>
      <c r="V9" s="351"/>
      <c r="W9" s="351"/>
      <c r="X9" s="351"/>
      <c r="Y9" s="334"/>
      <c r="Z9" s="334"/>
      <c r="AA9" s="334"/>
      <c r="AB9" s="334"/>
      <c r="AC9" s="335"/>
    </row>
    <row r="10" spans="1:32" x14ac:dyDescent="0.25">
      <c r="A10" s="4"/>
      <c r="B10" s="352" t="s">
        <v>265</v>
      </c>
      <c r="C10" s="353"/>
      <c r="D10" s="353"/>
      <c r="E10" s="353"/>
      <c r="F10" s="353"/>
      <c r="G10" s="353"/>
      <c r="H10" s="353"/>
      <c r="I10" s="25"/>
      <c r="J10" s="25"/>
      <c r="K10" s="25"/>
      <c r="L10" s="25"/>
      <c r="M10" s="25"/>
      <c r="AC10" s="5"/>
    </row>
    <row r="11" spans="1:32" x14ac:dyDescent="0.25">
      <c r="A11" s="346"/>
      <c r="B11" s="347"/>
      <c r="C11" s="347"/>
      <c r="D11" s="347"/>
      <c r="E11" s="347"/>
      <c r="F11" s="347"/>
      <c r="G11" s="347"/>
      <c r="H11" s="347"/>
      <c r="I11" s="347"/>
      <c r="J11" s="347"/>
      <c r="K11" s="347"/>
      <c r="L11" s="347"/>
      <c r="M11" s="347"/>
      <c r="N11" s="347"/>
      <c r="O11" s="347"/>
      <c r="P11" s="347"/>
      <c r="Q11" s="347"/>
      <c r="R11" s="347"/>
      <c r="S11" s="347"/>
      <c r="T11" s="347"/>
      <c r="U11" s="347"/>
      <c r="V11" s="347"/>
      <c r="W11" s="347"/>
      <c r="X11" s="347"/>
      <c r="Y11" s="347"/>
      <c r="Z11" s="347"/>
      <c r="AA11" s="347"/>
      <c r="AB11" s="347"/>
      <c r="AC11" s="348"/>
    </row>
    <row r="12" spans="1:32" x14ac:dyDescent="0.25">
      <c r="A12" s="346"/>
      <c r="B12" s="347"/>
      <c r="C12" s="347"/>
      <c r="D12" s="347"/>
      <c r="E12" s="347"/>
      <c r="F12" s="347"/>
      <c r="G12" s="347"/>
      <c r="H12" s="347"/>
      <c r="I12" s="347"/>
      <c r="J12" s="347"/>
      <c r="K12" s="347"/>
      <c r="L12" s="347"/>
      <c r="M12" s="347"/>
      <c r="N12" s="347"/>
      <c r="O12" s="347"/>
      <c r="P12" s="347"/>
      <c r="Q12" s="347"/>
      <c r="R12" s="347"/>
      <c r="S12" s="347"/>
      <c r="T12" s="347"/>
      <c r="U12" s="347"/>
      <c r="V12" s="347"/>
      <c r="W12" s="347"/>
      <c r="X12" s="347"/>
      <c r="Y12" s="347"/>
      <c r="Z12" s="347"/>
      <c r="AA12" s="347"/>
      <c r="AB12" s="347"/>
      <c r="AC12" s="348"/>
    </row>
    <row r="13" spans="1:32" x14ac:dyDescent="0.25">
      <c r="A13" s="346"/>
      <c r="B13" s="347"/>
      <c r="C13" s="347"/>
      <c r="D13" s="347"/>
      <c r="E13" s="347"/>
      <c r="F13" s="347"/>
      <c r="G13" s="347"/>
      <c r="H13" s="347"/>
      <c r="I13" s="347"/>
      <c r="J13" s="347"/>
      <c r="K13" s="347"/>
      <c r="L13" s="347"/>
      <c r="M13" s="347"/>
      <c r="N13" s="347"/>
      <c r="O13" s="347"/>
      <c r="P13" s="347"/>
      <c r="Q13" s="347"/>
      <c r="R13" s="347"/>
      <c r="S13" s="347"/>
      <c r="T13" s="347"/>
      <c r="U13" s="347"/>
      <c r="V13" s="347"/>
      <c r="W13" s="347"/>
      <c r="X13" s="347"/>
      <c r="Y13" s="347"/>
      <c r="Z13" s="347"/>
      <c r="AA13" s="347"/>
      <c r="AB13" s="347"/>
      <c r="AC13" s="348"/>
    </row>
    <row r="14" spans="1:32" x14ac:dyDescent="0.25">
      <c r="A14" s="346"/>
      <c r="B14" s="347"/>
      <c r="C14" s="347"/>
      <c r="D14" s="347"/>
      <c r="E14" s="347"/>
      <c r="F14" s="347"/>
      <c r="G14" s="347"/>
      <c r="H14" s="347"/>
      <c r="I14" s="347"/>
      <c r="J14" s="347"/>
      <c r="K14" s="347"/>
      <c r="L14" s="347"/>
      <c r="M14" s="347"/>
      <c r="N14" s="347"/>
      <c r="O14" s="347"/>
      <c r="P14" s="347"/>
      <c r="Q14" s="347"/>
      <c r="R14" s="347"/>
      <c r="S14" s="347"/>
      <c r="T14" s="347"/>
      <c r="U14" s="347"/>
      <c r="V14" s="347"/>
      <c r="W14" s="347"/>
      <c r="X14" s="347"/>
      <c r="Y14" s="347"/>
      <c r="Z14" s="347"/>
      <c r="AA14" s="347"/>
      <c r="AB14" s="347"/>
      <c r="AC14" s="348"/>
    </row>
    <row r="15" spans="1:32" x14ac:dyDescent="0.25">
      <c r="A15" s="346"/>
      <c r="B15" s="347"/>
      <c r="C15" s="347"/>
      <c r="D15" s="347"/>
      <c r="E15" s="347"/>
      <c r="F15" s="347"/>
      <c r="G15" s="347"/>
      <c r="H15" s="347"/>
      <c r="I15" s="347"/>
      <c r="J15" s="347"/>
      <c r="K15" s="347"/>
      <c r="L15" s="347"/>
      <c r="M15" s="347"/>
      <c r="N15" s="347"/>
      <c r="O15" s="347"/>
      <c r="P15" s="347"/>
      <c r="Q15" s="347"/>
      <c r="R15" s="347"/>
      <c r="S15" s="347"/>
      <c r="T15" s="347"/>
      <c r="U15" s="347"/>
      <c r="V15" s="347"/>
      <c r="W15" s="347"/>
      <c r="X15" s="347"/>
      <c r="Y15" s="347"/>
      <c r="Z15" s="347"/>
      <c r="AA15" s="347"/>
      <c r="AB15" s="347"/>
      <c r="AC15" s="348"/>
    </row>
    <row r="16" spans="1:32" x14ac:dyDescent="0.25">
      <c r="A16" s="346"/>
      <c r="B16" s="347"/>
      <c r="C16" s="347"/>
      <c r="D16" s="347"/>
      <c r="E16" s="347"/>
      <c r="F16" s="347"/>
      <c r="G16" s="347"/>
      <c r="H16" s="347"/>
      <c r="I16" s="347"/>
      <c r="J16" s="347"/>
      <c r="K16" s="347"/>
      <c r="L16" s="347"/>
      <c r="M16" s="347"/>
      <c r="N16" s="347"/>
      <c r="O16" s="347"/>
      <c r="P16" s="347"/>
      <c r="Q16" s="347"/>
      <c r="R16" s="347"/>
      <c r="S16" s="347"/>
      <c r="T16" s="347"/>
      <c r="U16" s="347"/>
      <c r="V16" s="347"/>
      <c r="W16" s="347"/>
      <c r="X16" s="347"/>
      <c r="Y16" s="347"/>
      <c r="Z16" s="347"/>
      <c r="AA16" s="347"/>
      <c r="AB16" s="347"/>
      <c r="AC16" s="348"/>
    </row>
    <row r="17" spans="1:29" x14ac:dyDescent="0.25">
      <c r="A17" s="346"/>
      <c r="B17" s="347"/>
      <c r="C17" s="347"/>
      <c r="D17" s="347"/>
      <c r="E17" s="347"/>
      <c r="F17" s="347"/>
      <c r="G17" s="347"/>
      <c r="H17" s="347"/>
      <c r="I17" s="347"/>
      <c r="J17" s="347"/>
      <c r="K17" s="347"/>
      <c r="L17" s="347"/>
      <c r="M17" s="347"/>
      <c r="N17" s="347"/>
      <c r="O17" s="347"/>
      <c r="P17" s="347"/>
      <c r="Q17" s="347"/>
      <c r="R17" s="347"/>
      <c r="S17" s="347"/>
      <c r="T17" s="347"/>
      <c r="U17" s="347"/>
      <c r="V17" s="347"/>
      <c r="W17" s="347"/>
      <c r="X17" s="347"/>
      <c r="Y17" s="347"/>
      <c r="Z17" s="347"/>
      <c r="AA17" s="347"/>
      <c r="AB17" s="347"/>
      <c r="AC17" s="348"/>
    </row>
    <row r="18" spans="1:29" x14ac:dyDescent="0.25">
      <c r="A18" s="346"/>
      <c r="B18" s="347"/>
      <c r="C18" s="347"/>
      <c r="D18" s="347"/>
      <c r="E18" s="347"/>
      <c r="F18" s="347"/>
      <c r="G18" s="347"/>
      <c r="H18" s="347"/>
      <c r="I18" s="347"/>
      <c r="J18" s="347"/>
      <c r="K18" s="347"/>
      <c r="L18" s="347"/>
      <c r="M18" s="347"/>
      <c r="N18" s="347"/>
      <c r="O18" s="347"/>
      <c r="P18" s="347"/>
      <c r="Q18" s="347"/>
      <c r="R18" s="347"/>
      <c r="S18" s="347"/>
      <c r="T18" s="347"/>
      <c r="U18" s="347"/>
      <c r="V18" s="347"/>
      <c r="W18" s="347"/>
      <c r="X18" s="347"/>
      <c r="Y18" s="347"/>
      <c r="Z18" s="347"/>
      <c r="AA18" s="347"/>
      <c r="AB18" s="347"/>
      <c r="AC18" s="348"/>
    </row>
    <row r="19" spans="1:29" x14ac:dyDescent="0.25">
      <c r="A19" s="346"/>
      <c r="B19" s="347"/>
      <c r="C19" s="347"/>
      <c r="D19" s="347"/>
      <c r="E19" s="347"/>
      <c r="F19" s="347"/>
      <c r="G19" s="347"/>
      <c r="H19" s="347"/>
      <c r="I19" s="347"/>
      <c r="J19" s="347"/>
      <c r="K19" s="347"/>
      <c r="L19" s="347"/>
      <c r="M19" s="347"/>
      <c r="N19" s="347"/>
      <c r="O19" s="347"/>
      <c r="P19" s="347"/>
      <c r="Q19" s="347"/>
      <c r="R19" s="347"/>
      <c r="S19" s="347"/>
      <c r="T19" s="347"/>
      <c r="U19" s="347"/>
      <c r="V19" s="347"/>
      <c r="W19" s="347"/>
      <c r="X19" s="347"/>
      <c r="Y19" s="347"/>
      <c r="Z19" s="347"/>
      <c r="AA19" s="347"/>
      <c r="AB19" s="347"/>
      <c r="AC19" s="348"/>
    </row>
    <row r="20" spans="1:29" x14ac:dyDescent="0.25">
      <c r="A20" s="346"/>
      <c r="B20" s="347"/>
      <c r="C20" s="347"/>
      <c r="D20" s="347"/>
      <c r="E20" s="347"/>
      <c r="F20" s="347"/>
      <c r="G20" s="347"/>
      <c r="H20" s="347"/>
      <c r="I20" s="347"/>
      <c r="J20" s="347"/>
      <c r="K20" s="347"/>
      <c r="L20" s="347"/>
      <c r="M20" s="347"/>
      <c r="N20" s="347"/>
      <c r="O20" s="347"/>
      <c r="P20" s="347"/>
      <c r="Q20" s="347"/>
      <c r="R20" s="347"/>
      <c r="S20" s="347"/>
      <c r="T20" s="347"/>
      <c r="U20" s="347"/>
      <c r="V20" s="347"/>
      <c r="W20" s="347"/>
      <c r="X20" s="347"/>
      <c r="Y20" s="347"/>
      <c r="Z20" s="347"/>
      <c r="AA20" s="347"/>
      <c r="AB20" s="347"/>
      <c r="AC20" s="348"/>
    </row>
    <row r="21" spans="1:29" x14ac:dyDescent="0.25">
      <c r="A21" s="346"/>
      <c r="B21" s="347"/>
      <c r="C21" s="347"/>
      <c r="D21" s="347"/>
      <c r="E21" s="347"/>
      <c r="F21" s="347"/>
      <c r="G21" s="347"/>
      <c r="H21" s="347"/>
      <c r="I21" s="347"/>
      <c r="J21" s="347"/>
      <c r="K21" s="347"/>
      <c r="L21" s="347"/>
      <c r="M21" s="347"/>
      <c r="N21" s="347"/>
      <c r="O21" s="347"/>
      <c r="P21" s="347"/>
      <c r="Q21" s="347"/>
      <c r="R21" s="347"/>
      <c r="S21" s="347"/>
      <c r="T21" s="347"/>
      <c r="U21" s="347"/>
      <c r="V21" s="347"/>
      <c r="W21" s="347"/>
      <c r="X21" s="347"/>
      <c r="Y21" s="347"/>
      <c r="Z21" s="347"/>
      <c r="AA21" s="347"/>
      <c r="AB21" s="347"/>
      <c r="AC21" s="348"/>
    </row>
    <row r="22" spans="1:29" x14ac:dyDescent="0.25">
      <c r="A22" s="346"/>
      <c r="B22" s="347"/>
      <c r="C22" s="347"/>
      <c r="D22" s="347"/>
      <c r="E22" s="347"/>
      <c r="F22" s="347"/>
      <c r="G22" s="347"/>
      <c r="H22" s="347"/>
      <c r="I22" s="347"/>
      <c r="J22" s="347"/>
      <c r="K22" s="347"/>
      <c r="L22" s="347"/>
      <c r="M22" s="347"/>
      <c r="N22" s="347"/>
      <c r="O22" s="347"/>
      <c r="P22" s="347"/>
      <c r="Q22" s="347"/>
      <c r="R22" s="347"/>
      <c r="S22" s="347"/>
      <c r="T22" s="347"/>
      <c r="U22" s="347"/>
      <c r="V22" s="347"/>
      <c r="W22" s="347"/>
      <c r="X22" s="347"/>
      <c r="Y22" s="347"/>
      <c r="Z22" s="347"/>
      <c r="AA22" s="347"/>
      <c r="AB22" s="347"/>
      <c r="AC22" s="348"/>
    </row>
    <row r="23" spans="1:29" x14ac:dyDescent="0.25">
      <c r="A23" s="346"/>
      <c r="B23" s="347"/>
      <c r="C23" s="347"/>
      <c r="D23" s="347"/>
      <c r="E23" s="347"/>
      <c r="F23" s="347"/>
      <c r="G23" s="347"/>
      <c r="H23" s="347"/>
      <c r="I23" s="347"/>
      <c r="J23" s="347"/>
      <c r="K23" s="347"/>
      <c r="L23" s="347"/>
      <c r="M23" s="347"/>
      <c r="N23" s="347"/>
      <c r="O23" s="347"/>
      <c r="P23" s="347"/>
      <c r="Q23" s="347"/>
      <c r="R23" s="347"/>
      <c r="S23" s="347"/>
      <c r="T23" s="347"/>
      <c r="U23" s="347"/>
      <c r="V23" s="347"/>
      <c r="W23" s="347"/>
      <c r="X23" s="347"/>
      <c r="Y23" s="347"/>
      <c r="Z23" s="347"/>
      <c r="AA23" s="347"/>
      <c r="AB23" s="347"/>
      <c r="AC23" s="348"/>
    </row>
    <row r="24" spans="1:29" x14ac:dyDescent="0.25">
      <c r="A24" s="346"/>
      <c r="B24" s="347"/>
      <c r="C24" s="347"/>
      <c r="D24" s="347"/>
      <c r="E24" s="347"/>
      <c r="F24" s="347"/>
      <c r="G24" s="347"/>
      <c r="H24" s="347"/>
      <c r="I24" s="347"/>
      <c r="J24" s="347"/>
      <c r="K24" s="347"/>
      <c r="L24" s="347"/>
      <c r="M24" s="347"/>
      <c r="N24" s="347"/>
      <c r="O24" s="347"/>
      <c r="P24" s="347"/>
      <c r="Q24" s="347"/>
      <c r="R24" s="347"/>
      <c r="S24" s="347"/>
      <c r="T24" s="347"/>
      <c r="U24" s="347"/>
      <c r="V24" s="347"/>
      <c r="W24" s="347"/>
      <c r="X24" s="347"/>
      <c r="Y24" s="347"/>
      <c r="Z24" s="347"/>
      <c r="AA24" s="347"/>
      <c r="AB24" s="347"/>
      <c r="AC24" s="348"/>
    </row>
    <row r="25" spans="1:29" x14ac:dyDescent="0.25">
      <c r="A25" s="346"/>
      <c r="B25" s="347"/>
      <c r="C25" s="347"/>
      <c r="D25" s="347"/>
      <c r="E25" s="347"/>
      <c r="F25" s="347"/>
      <c r="G25" s="347"/>
      <c r="H25" s="347"/>
      <c r="I25" s="347"/>
      <c r="J25" s="347"/>
      <c r="K25" s="347"/>
      <c r="L25" s="347"/>
      <c r="M25" s="347"/>
      <c r="N25" s="347"/>
      <c r="O25" s="347"/>
      <c r="P25" s="347"/>
      <c r="Q25" s="347"/>
      <c r="R25" s="347"/>
      <c r="S25" s="347"/>
      <c r="T25" s="347"/>
      <c r="U25" s="347"/>
      <c r="V25" s="347"/>
      <c r="W25" s="347"/>
      <c r="X25" s="347"/>
      <c r="Y25" s="347"/>
      <c r="Z25" s="347"/>
      <c r="AA25" s="347"/>
      <c r="AB25" s="347"/>
      <c r="AC25" s="348"/>
    </row>
    <row r="26" spans="1:29" x14ac:dyDescent="0.25">
      <c r="A26" s="4"/>
      <c r="AC26" s="5"/>
    </row>
    <row r="27" spans="1:29" ht="13.8" thickBot="1" x14ac:dyDescent="0.3">
      <c r="A27" s="4"/>
      <c r="B27" s="349" t="s">
        <v>266</v>
      </c>
      <c r="C27" s="349"/>
      <c r="D27" s="349"/>
      <c r="E27" s="349"/>
      <c r="F27" s="40"/>
      <c r="G27" s="40"/>
      <c r="I27" s="26"/>
      <c r="J27" s="26"/>
      <c r="L27" s="349" t="s">
        <v>274</v>
      </c>
      <c r="M27" s="349"/>
      <c r="T27" s="21"/>
      <c r="U27" s="21"/>
      <c r="V27" s="21"/>
      <c r="W27" s="27"/>
      <c r="X27" s="27"/>
      <c r="Y27" s="27"/>
      <c r="Z27" s="27"/>
      <c r="AA27" s="27"/>
      <c r="AB27" s="27"/>
      <c r="AC27" s="5"/>
    </row>
    <row r="28" spans="1:29" x14ac:dyDescent="0.25">
      <c r="A28" s="4"/>
      <c r="B28" s="358" t="str">
        <f>LINData!B12&amp;" ("&amp;LINData!H13&amp;")"</f>
        <v>输入 (g pk)</v>
      </c>
      <c r="C28" s="336"/>
      <c r="D28" s="336"/>
      <c r="E28" s="357" t="str">
        <f>"输出 ("&amp;LINData!I13&amp;")"</f>
        <v>输出 (mV)</v>
      </c>
      <c r="F28" s="357"/>
      <c r="G28" s="357"/>
      <c r="H28" s="336" t="s">
        <v>267</v>
      </c>
      <c r="I28" s="336"/>
      <c r="J28" s="337"/>
      <c r="L28" s="340" t="s">
        <v>275</v>
      </c>
      <c r="M28" s="340"/>
      <c r="N28" s="340"/>
      <c r="O28" s="340"/>
      <c r="P28" s="340"/>
      <c r="Q28" s="340"/>
      <c r="R28" s="340"/>
      <c r="S28" s="340"/>
      <c r="T28" s="340"/>
      <c r="U28" s="340"/>
      <c r="V28" s="340"/>
      <c r="W28" s="340"/>
      <c r="X28" s="340"/>
      <c r="Y28" s="340"/>
      <c r="Z28" s="340"/>
      <c r="AA28" s="340"/>
      <c r="AB28" s="340"/>
      <c r="AC28" s="341"/>
    </row>
    <row r="29" spans="1:29" x14ac:dyDescent="0.25">
      <c r="A29" s="4"/>
      <c r="B29" s="359"/>
      <c r="C29" s="338"/>
      <c r="D29" s="338"/>
      <c r="E29" s="338"/>
      <c r="F29" s="338"/>
      <c r="G29" s="338"/>
      <c r="H29" s="338"/>
      <c r="I29" s="338"/>
      <c r="J29" s="339"/>
      <c r="L29" s="340" t="s">
        <v>286</v>
      </c>
      <c r="M29" s="340"/>
      <c r="N29" s="340"/>
      <c r="O29" s="340"/>
      <c r="P29" s="340"/>
      <c r="Q29" s="340"/>
      <c r="R29" s="340"/>
      <c r="S29" s="340"/>
      <c r="T29" s="340"/>
      <c r="U29" s="340"/>
      <c r="V29" s="340"/>
      <c r="W29" s="340"/>
      <c r="X29" s="340"/>
      <c r="Y29" s="340"/>
      <c r="Z29" s="340"/>
      <c r="AA29" s="340"/>
      <c r="AB29" s="340"/>
      <c r="AC29" s="341"/>
    </row>
    <row r="30" spans="1:29" ht="12.9" customHeight="1" x14ac:dyDescent="0.25">
      <c r="A30" s="4"/>
      <c r="B30" s="319" t="str">
        <f>IF('Linfit Worksheet'!K3&lt;&gt;"",IF('Linfit Worksheet'!L3&lt;&gt;"",'Linfit Worksheet'!K3,""),"")</f>
        <v/>
      </c>
      <c r="C30" s="320"/>
      <c r="D30" s="320"/>
      <c r="E30" s="321" t="str">
        <f>IF('Linfit Worksheet'!K3&lt;&gt;"",IF('Linfit Worksheet'!L3&lt;&gt;"",'Linfit Worksheet'!L3,""),"")</f>
        <v/>
      </c>
      <c r="F30" s="322"/>
      <c r="G30" s="323"/>
      <c r="H30" s="343" t="s">
        <v>72</v>
      </c>
      <c r="I30" s="344"/>
      <c r="J30" s="345"/>
      <c r="L30" s="340" t="s">
        <v>285</v>
      </c>
      <c r="M30" s="340"/>
      <c r="N30" s="340"/>
      <c r="O30" s="340"/>
      <c r="P30" s="340"/>
      <c r="Q30" s="340"/>
      <c r="R30" s="340"/>
      <c r="S30" s="340"/>
      <c r="T30" s="340"/>
      <c r="U30" s="340"/>
      <c r="V30" s="340"/>
      <c r="W30" s="340"/>
      <c r="X30" s="340"/>
      <c r="Y30" s="340"/>
      <c r="Z30" s="340"/>
      <c r="AA30" s="340"/>
      <c r="AB30" s="340"/>
      <c r="AC30" s="341"/>
    </row>
    <row r="31" spans="1:29" ht="12.9" customHeight="1" x14ac:dyDescent="0.25">
      <c r="A31" s="4"/>
      <c r="B31" s="319" t="str">
        <f>IF('Linfit Worksheet'!K4&lt;&gt;"",IF('Linfit Worksheet'!L4&lt;&gt;"",'Linfit Worksheet'!K4,""),"")</f>
        <v/>
      </c>
      <c r="C31" s="320"/>
      <c r="D31" s="320"/>
      <c r="E31" s="321" t="str">
        <f>IF('Linfit Worksheet'!K4&lt;&gt;"",IF('Linfit Worksheet'!L4&lt;&gt;"",'Linfit Worksheet'!L4,""),"")</f>
        <v/>
      </c>
      <c r="F31" s="322"/>
      <c r="G31" s="323"/>
      <c r="H31" s="324" t="str">
        <f>IF('Linfit Worksheet'!K4&lt;&gt;"",IF('Linfit Worksheet'!L4&lt;&gt;"",'Linfit Worksheet'!N4,""),"")</f>
        <v/>
      </c>
      <c r="I31" s="324"/>
      <c r="J31" s="325"/>
      <c r="L31" s="340" t="s">
        <v>276</v>
      </c>
      <c r="M31" s="340"/>
      <c r="N31" s="340"/>
      <c r="O31" s="340"/>
      <c r="P31" s="340"/>
      <c r="Q31" s="340"/>
      <c r="R31" s="340"/>
      <c r="S31" s="340"/>
      <c r="T31" s="340"/>
      <c r="U31" s="340"/>
      <c r="V31" s="340"/>
      <c r="W31" s="340"/>
      <c r="X31" s="340"/>
      <c r="Y31" s="340"/>
      <c r="Z31" s="340"/>
      <c r="AA31" s="340"/>
      <c r="AB31" s="340"/>
      <c r="AC31" s="341"/>
    </row>
    <row r="32" spans="1:29" ht="12.9" customHeight="1" x14ac:dyDescent="0.25">
      <c r="A32" s="4"/>
      <c r="B32" s="319" t="str">
        <f>IF('Linfit Worksheet'!K5&lt;&gt;"",IF('Linfit Worksheet'!L5&lt;&gt;"",'Linfit Worksheet'!K5,""),"")</f>
        <v/>
      </c>
      <c r="C32" s="320"/>
      <c r="D32" s="320"/>
      <c r="E32" s="321" t="str">
        <f>IF('Linfit Worksheet'!K5&lt;&gt;"",IF('Linfit Worksheet'!L5&lt;&gt;"",'Linfit Worksheet'!L5,""),"")</f>
        <v/>
      </c>
      <c r="F32" s="322"/>
      <c r="G32" s="323"/>
      <c r="H32" s="324" t="str">
        <f>IF('Linfit Worksheet'!K5&lt;&gt;"",IF('Linfit Worksheet'!L5&lt;&gt;"",'Linfit Worksheet'!N5,""),"")</f>
        <v/>
      </c>
      <c r="I32" s="324"/>
      <c r="J32" s="325"/>
      <c r="L32" s="340"/>
      <c r="M32" s="340"/>
      <c r="N32" s="340"/>
      <c r="O32" s="340"/>
      <c r="P32" s="340"/>
      <c r="Q32" s="340"/>
      <c r="R32" s="340"/>
      <c r="S32" s="340"/>
      <c r="T32" s="340"/>
      <c r="U32" s="340"/>
      <c r="V32" s="340"/>
      <c r="W32" s="340"/>
      <c r="X32" s="340"/>
      <c r="Y32" s="340"/>
      <c r="Z32" s="340"/>
      <c r="AA32" s="340"/>
      <c r="AB32" s="340"/>
      <c r="AC32" s="341"/>
    </row>
    <row r="33" spans="1:29" ht="12.9" customHeight="1" x14ac:dyDescent="0.25">
      <c r="A33" s="4"/>
      <c r="B33" s="319" t="str">
        <f>IF('Linfit Worksheet'!K6&lt;&gt;"",IF('Linfit Worksheet'!L6&lt;&gt;"",'Linfit Worksheet'!K6,""),"")</f>
        <v/>
      </c>
      <c r="C33" s="320"/>
      <c r="D33" s="320"/>
      <c r="E33" s="321" t="str">
        <f>IF('Linfit Worksheet'!K6&lt;&gt;"",IF('Linfit Worksheet'!L6&lt;&gt;"",'Linfit Worksheet'!L6,""),"")</f>
        <v/>
      </c>
      <c r="F33" s="322"/>
      <c r="G33" s="323"/>
      <c r="H33" s="324" t="str">
        <f>IF('Linfit Worksheet'!K6&lt;&gt;"",IF('Linfit Worksheet'!L6&lt;&gt;"",'Linfit Worksheet'!N6,""),"")</f>
        <v/>
      </c>
      <c r="I33" s="324"/>
      <c r="J33" s="325"/>
      <c r="L33" s="340"/>
      <c r="M33" s="340"/>
      <c r="N33" s="340"/>
      <c r="O33" s="340"/>
      <c r="P33" s="340"/>
      <c r="Q33" s="340"/>
      <c r="R33" s="340"/>
      <c r="S33" s="340"/>
      <c r="T33" s="340"/>
      <c r="U33" s="340"/>
      <c r="V33" s="340"/>
      <c r="W33" s="340"/>
      <c r="X33" s="340"/>
      <c r="Y33" s="340"/>
      <c r="Z33" s="340"/>
      <c r="AA33" s="340"/>
      <c r="AB33" s="340"/>
      <c r="AC33" s="341"/>
    </row>
    <row r="34" spans="1:29" ht="12.9" customHeight="1" x14ac:dyDescent="0.25">
      <c r="A34" s="4"/>
      <c r="B34" s="319" t="str">
        <f>IF('Linfit Worksheet'!K7&lt;&gt;"",IF('Linfit Worksheet'!L7&lt;&gt;"",'Linfit Worksheet'!K7,""),"")</f>
        <v/>
      </c>
      <c r="C34" s="320"/>
      <c r="D34" s="320"/>
      <c r="E34" s="321" t="str">
        <f>IF('Linfit Worksheet'!K7&lt;&gt;"",IF('Linfit Worksheet'!L7&lt;&gt;"",'Linfit Worksheet'!L7,""),"")</f>
        <v/>
      </c>
      <c r="F34" s="322"/>
      <c r="G34" s="323"/>
      <c r="H34" s="324" t="str">
        <f>IF('Linfit Worksheet'!K7&lt;&gt;"",IF('Linfit Worksheet'!L7&lt;&gt;"",'Linfit Worksheet'!N7,""),"")</f>
        <v/>
      </c>
      <c r="I34" s="324"/>
      <c r="J34" s="325"/>
      <c r="L34" s="340"/>
      <c r="M34" s="340"/>
      <c r="N34" s="340"/>
      <c r="O34" s="340"/>
      <c r="P34" s="340"/>
      <c r="Q34" s="340"/>
      <c r="R34" s="340"/>
      <c r="S34" s="340"/>
      <c r="T34" s="340"/>
      <c r="U34" s="340"/>
      <c r="V34" s="340"/>
      <c r="W34" s="340"/>
      <c r="X34" s="340"/>
      <c r="Y34" s="340"/>
      <c r="Z34" s="340"/>
      <c r="AA34" s="340"/>
      <c r="AB34" s="340"/>
      <c r="AC34" s="341"/>
    </row>
    <row r="35" spans="1:29" ht="12.9" customHeight="1" x14ac:dyDescent="0.25">
      <c r="A35" s="4"/>
      <c r="B35" s="319" t="str">
        <f>IF('Linfit Worksheet'!K8&lt;&gt;"",IF('Linfit Worksheet'!L8&lt;&gt;"",'Linfit Worksheet'!K8,""),"")</f>
        <v/>
      </c>
      <c r="C35" s="320"/>
      <c r="D35" s="320"/>
      <c r="E35" s="321" t="str">
        <f>IF('Linfit Worksheet'!K8&lt;&gt;"",IF('Linfit Worksheet'!L8&lt;&gt;"",'Linfit Worksheet'!L8,""),"")</f>
        <v/>
      </c>
      <c r="F35" s="322"/>
      <c r="G35" s="323"/>
      <c r="H35" s="324" t="str">
        <f>IF('Linfit Worksheet'!K8&lt;&gt;"",IF('Linfit Worksheet'!L8&lt;&gt;"",'Linfit Worksheet'!N8,""),"")</f>
        <v/>
      </c>
      <c r="I35" s="324"/>
      <c r="J35" s="325"/>
      <c r="L35" s="340"/>
      <c r="M35" s="340"/>
      <c r="N35" s="340"/>
      <c r="O35" s="340"/>
      <c r="P35" s="340"/>
      <c r="Q35" s="340"/>
      <c r="R35" s="340"/>
      <c r="S35" s="340"/>
      <c r="T35" s="340"/>
      <c r="U35" s="340"/>
      <c r="V35" s="340"/>
      <c r="W35" s="340"/>
      <c r="X35" s="340"/>
      <c r="Y35" s="340"/>
      <c r="Z35" s="340"/>
      <c r="AA35" s="340"/>
      <c r="AB35" s="340"/>
      <c r="AC35" s="341"/>
    </row>
    <row r="36" spans="1:29" ht="12.9" customHeight="1" x14ac:dyDescent="0.25">
      <c r="A36" s="4"/>
      <c r="B36" s="319" t="str">
        <f>IF('Linfit Worksheet'!K9&lt;&gt;"",IF('Linfit Worksheet'!L9&lt;&gt;"",'Linfit Worksheet'!K9,""),"")</f>
        <v/>
      </c>
      <c r="C36" s="320"/>
      <c r="D36" s="320"/>
      <c r="E36" s="321" t="str">
        <f>IF('Linfit Worksheet'!K9&lt;&gt;"",IF('Linfit Worksheet'!L9&lt;&gt;"",'Linfit Worksheet'!L9,""),"")</f>
        <v/>
      </c>
      <c r="F36" s="322"/>
      <c r="G36" s="323"/>
      <c r="H36" s="324" t="str">
        <f>IF('Linfit Worksheet'!K9&lt;&gt;"",IF('Linfit Worksheet'!L9&lt;&gt;"",'Linfit Worksheet'!N9,""),"")</f>
        <v/>
      </c>
      <c r="I36" s="324"/>
      <c r="J36" s="325"/>
      <c r="L36" s="2" t="s">
        <v>277</v>
      </c>
      <c r="O36" s="362"/>
      <c r="P36" s="362"/>
      <c r="Q36" s="362"/>
      <c r="R36" s="362"/>
      <c r="S36" s="362"/>
      <c r="T36" s="362"/>
      <c r="U36" s="362"/>
      <c r="V36" s="362"/>
      <c r="W36" s="362"/>
      <c r="X36" s="362"/>
      <c r="Y36" s="362"/>
      <c r="Z36" s="362"/>
      <c r="AA36" s="362"/>
      <c r="AB36" s="362"/>
      <c r="AC36" s="363"/>
    </row>
    <row r="37" spans="1:29" ht="12.9" customHeight="1" x14ac:dyDescent="0.25">
      <c r="A37" s="4"/>
      <c r="B37" s="319" t="str">
        <f>IF('Linfit Worksheet'!K10&lt;&gt;"",IF('Linfit Worksheet'!L10&lt;&gt;"",'Linfit Worksheet'!K10,""),"")</f>
        <v/>
      </c>
      <c r="C37" s="320"/>
      <c r="D37" s="320"/>
      <c r="E37" s="321" t="str">
        <f>IF('Linfit Worksheet'!K10&lt;&gt;"",IF('Linfit Worksheet'!L10&lt;&gt;"",'Linfit Worksheet'!L10,""),"")</f>
        <v/>
      </c>
      <c r="F37" s="322"/>
      <c r="G37" s="323"/>
      <c r="H37" s="324" t="str">
        <f>IF('Linfit Worksheet'!K10&lt;&gt;"",IF('Linfit Worksheet'!L10&lt;&gt;"",'Linfit Worksheet'!N10,""),"")</f>
        <v/>
      </c>
      <c r="I37" s="324"/>
      <c r="J37" s="325"/>
      <c r="L37" s="225"/>
      <c r="M37" s="225"/>
      <c r="N37" s="225"/>
      <c r="O37" s="362"/>
      <c r="P37" s="362"/>
      <c r="Q37" s="362"/>
      <c r="R37" s="362"/>
      <c r="S37" s="362"/>
      <c r="T37" s="362"/>
      <c r="U37" s="362"/>
      <c r="V37" s="362"/>
      <c r="W37" s="362"/>
      <c r="X37" s="362"/>
      <c r="Y37" s="362"/>
      <c r="Z37" s="362"/>
      <c r="AA37" s="362"/>
      <c r="AB37" s="362"/>
      <c r="AC37" s="363"/>
    </row>
    <row r="38" spans="1:29" ht="12.9" customHeight="1" x14ac:dyDescent="0.25">
      <c r="A38" s="4"/>
      <c r="B38" s="319" t="str">
        <f>IF('Linfit Worksheet'!K11&lt;&gt;"",IF('Linfit Worksheet'!L11&lt;&gt;"",'Linfit Worksheet'!K11,""),"")</f>
        <v/>
      </c>
      <c r="C38" s="320"/>
      <c r="D38" s="320"/>
      <c r="E38" s="321" t="str">
        <f>IF('Linfit Worksheet'!K11&lt;&gt;"",IF('Linfit Worksheet'!L11&lt;&gt;"",'Linfit Worksheet'!L11,""),"")</f>
        <v/>
      </c>
      <c r="F38" s="322"/>
      <c r="G38" s="323"/>
      <c r="H38" s="324" t="str">
        <f>IF('Linfit Worksheet'!K11&lt;&gt;"",IF('Linfit Worksheet'!L11&lt;&gt;"",'Linfit Worksheet'!N11,""),"")</f>
        <v/>
      </c>
      <c r="I38" s="324"/>
      <c r="J38" s="325"/>
      <c r="O38" s="362"/>
      <c r="P38" s="362"/>
      <c r="Q38" s="362"/>
      <c r="R38" s="362"/>
      <c r="S38" s="362"/>
      <c r="T38" s="362"/>
      <c r="U38" s="362"/>
      <c r="V38" s="362"/>
      <c r="W38" s="362"/>
      <c r="X38" s="362"/>
      <c r="Y38" s="362"/>
      <c r="Z38" s="362"/>
      <c r="AA38" s="362"/>
      <c r="AB38" s="362"/>
      <c r="AC38" s="363"/>
    </row>
    <row r="39" spans="1:29" ht="12.9" customHeight="1" x14ac:dyDescent="0.25">
      <c r="A39" s="4"/>
      <c r="B39" s="319" t="str">
        <f>IF('Linfit Worksheet'!K12&lt;&gt;"",IF('Linfit Worksheet'!L12&lt;&gt;"",'Linfit Worksheet'!K12,""),"")</f>
        <v/>
      </c>
      <c r="C39" s="320"/>
      <c r="D39" s="320"/>
      <c r="E39" s="321" t="str">
        <f>IF('Linfit Worksheet'!K12&lt;&gt;"",IF('Linfit Worksheet'!L12&lt;&gt;"",'Linfit Worksheet'!L12,""),"")</f>
        <v/>
      </c>
      <c r="F39" s="322"/>
      <c r="G39" s="323"/>
      <c r="H39" s="324" t="str">
        <f>IF('Linfit Worksheet'!K12&lt;&gt;"",IF('Linfit Worksheet'!L12&lt;&gt;"",'Linfit Worksheet'!N12,""),"")</f>
        <v/>
      </c>
      <c r="I39" s="324"/>
      <c r="J39" s="325"/>
      <c r="O39" s="362"/>
      <c r="P39" s="362"/>
      <c r="Q39" s="362"/>
      <c r="R39" s="362"/>
      <c r="S39" s="362"/>
      <c r="T39" s="362"/>
      <c r="U39" s="362"/>
      <c r="V39" s="362"/>
      <c r="W39" s="362"/>
      <c r="X39" s="362"/>
      <c r="Y39" s="362"/>
      <c r="Z39" s="362"/>
      <c r="AA39" s="362"/>
      <c r="AB39" s="362"/>
      <c r="AC39" s="363"/>
    </row>
    <row r="40" spans="1:29" ht="12.9" customHeight="1" x14ac:dyDescent="0.25">
      <c r="A40" s="28"/>
      <c r="B40" s="319" t="str">
        <f>IF('Linfit Worksheet'!K13&lt;&gt;"",IF('Linfit Worksheet'!L13&lt;&gt;"",'Linfit Worksheet'!K13,""),"")</f>
        <v/>
      </c>
      <c r="C40" s="320"/>
      <c r="D40" s="320"/>
      <c r="E40" s="321" t="str">
        <f>IF('Linfit Worksheet'!K13&lt;&gt;"",IF('Linfit Worksheet'!L13&lt;&gt;"",'Linfit Worksheet'!L13,""),"")</f>
        <v/>
      </c>
      <c r="F40" s="322"/>
      <c r="G40" s="323"/>
      <c r="H40" s="324" t="str">
        <f>IF('Linfit Worksheet'!K13&lt;&gt;"",IF('Linfit Worksheet'!L13&lt;&gt;"",'Linfit Worksheet'!N13,""),"")</f>
        <v/>
      </c>
      <c r="I40" s="324"/>
      <c r="J40" s="325"/>
      <c r="L40" s="226"/>
      <c r="M40" s="226"/>
      <c r="N40" s="226"/>
      <c r="O40" s="362"/>
      <c r="P40" s="362"/>
      <c r="Q40" s="362"/>
      <c r="R40" s="362"/>
      <c r="S40" s="362"/>
      <c r="T40" s="362"/>
      <c r="U40" s="362"/>
      <c r="V40" s="362"/>
      <c r="W40" s="362"/>
      <c r="X40" s="362"/>
      <c r="Y40" s="362"/>
      <c r="Z40" s="362"/>
      <c r="AA40" s="362"/>
      <c r="AB40" s="362"/>
      <c r="AC40" s="363"/>
    </row>
    <row r="41" spans="1:29" ht="12.9" customHeight="1" x14ac:dyDescent="0.25">
      <c r="A41" s="29"/>
      <c r="B41" s="319" t="str">
        <f>IF('Linfit Worksheet'!K14&lt;&gt;"",IF('Linfit Worksheet'!L14&lt;&gt;"",'Linfit Worksheet'!K14,""),"")</f>
        <v/>
      </c>
      <c r="C41" s="320"/>
      <c r="D41" s="320"/>
      <c r="E41" s="321" t="str">
        <f>IF('Linfit Worksheet'!K14&lt;&gt;"",IF('Linfit Worksheet'!L14&lt;&gt;"",'Linfit Worksheet'!L14,""),"")</f>
        <v/>
      </c>
      <c r="F41" s="322"/>
      <c r="G41" s="323"/>
      <c r="H41" s="324" t="str">
        <f>IF('Linfit Worksheet'!K14&lt;&gt;"",IF('Linfit Worksheet'!L14&lt;&gt;"",'Linfit Worksheet'!N14,""),"")</f>
        <v/>
      </c>
      <c r="I41" s="324"/>
      <c r="J41" s="325"/>
      <c r="L41" s="333" t="s">
        <v>243</v>
      </c>
      <c r="M41" s="333"/>
      <c r="N41" s="333"/>
      <c r="O41" s="362"/>
      <c r="P41" s="362"/>
      <c r="Q41" s="362"/>
      <c r="R41" s="362"/>
      <c r="S41" s="362"/>
      <c r="T41" s="362"/>
      <c r="U41" s="362"/>
      <c r="V41" s="362"/>
      <c r="W41" s="362"/>
      <c r="X41" s="362"/>
      <c r="Y41" s="362"/>
      <c r="Z41" s="362"/>
      <c r="AA41" s="362"/>
      <c r="AB41" s="362"/>
      <c r="AC41" s="363"/>
    </row>
    <row r="42" spans="1:29" ht="12.9" customHeight="1" x14ac:dyDescent="0.3">
      <c r="A42" s="4"/>
      <c r="B42" s="319" t="str">
        <f>IF('Linfit Worksheet'!K15&lt;&gt;"",IF('Linfit Worksheet'!L15&lt;&gt;"",'Linfit Worksheet'!K15,""),"")</f>
        <v/>
      </c>
      <c r="C42" s="320"/>
      <c r="D42" s="320"/>
      <c r="E42" s="321" t="str">
        <f>IF('Linfit Worksheet'!K15&lt;&gt;"",IF('Linfit Worksheet'!L15&lt;&gt;"",'Linfit Worksheet'!L15,""),"")</f>
        <v/>
      </c>
      <c r="F42" s="322"/>
      <c r="G42" s="323"/>
      <c r="H42" s="324" t="str">
        <f>IF('Linfit Worksheet'!K15&lt;&gt;"",IF('Linfit Worksheet'!L15&lt;&gt;"",'Linfit Worksheet'!N15,""),"")</f>
        <v/>
      </c>
      <c r="I42" s="324"/>
      <c r="J42" s="325"/>
      <c r="L42" s="227"/>
      <c r="M42" s="54"/>
      <c r="N42" s="54"/>
      <c r="O42" s="362"/>
      <c r="P42" s="362"/>
      <c r="Q42" s="362"/>
      <c r="R42" s="362"/>
      <c r="S42" s="362"/>
      <c r="T42" s="362"/>
      <c r="U42" s="362"/>
      <c r="V42" s="362"/>
      <c r="W42" s="362"/>
      <c r="X42" s="362"/>
      <c r="Y42" s="362"/>
      <c r="Z42" s="362"/>
      <c r="AA42" s="362"/>
      <c r="AB42" s="362"/>
      <c r="AC42" s="363"/>
    </row>
    <row r="43" spans="1:29" ht="12.9" customHeight="1" x14ac:dyDescent="0.3">
      <c r="A43" s="4"/>
      <c r="B43" s="319" t="str">
        <f>IF('Linfit Worksheet'!K16&lt;&gt;"",IF('Linfit Worksheet'!L16&lt;&gt;"",'Linfit Worksheet'!K16,""),"")</f>
        <v/>
      </c>
      <c r="C43" s="320"/>
      <c r="D43" s="320"/>
      <c r="E43" s="321" t="str">
        <f>IF('Linfit Worksheet'!K16&lt;&gt;"",IF('Linfit Worksheet'!L16&lt;&gt;"",'Linfit Worksheet'!L16,""),"")</f>
        <v/>
      </c>
      <c r="F43" s="322"/>
      <c r="G43" s="323"/>
      <c r="H43" s="324" t="str">
        <f>IF('Linfit Worksheet'!K16&lt;&gt;"",IF('Linfit Worksheet'!L16&lt;&gt;"",'Linfit Worksheet'!N16,""),"")</f>
        <v/>
      </c>
      <c r="I43" s="324"/>
      <c r="J43" s="325"/>
      <c r="L43" s="54"/>
      <c r="M43" s="54"/>
      <c r="N43" s="54"/>
      <c r="O43" s="362"/>
      <c r="P43" s="362"/>
      <c r="Q43" s="362"/>
      <c r="R43" s="362"/>
      <c r="S43" s="362"/>
      <c r="T43" s="362"/>
      <c r="U43" s="362"/>
      <c r="V43" s="362"/>
      <c r="W43" s="362"/>
      <c r="X43" s="362"/>
      <c r="Y43" s="362"/>
      <c r="Z43" s="362"/>
      <c r="AA43" s="362"/>
      <c r="AB43" s="362"/>
      <c r="AC43" s="363"/>
    </row>
    <row r="44" spans="1:29" ht="12.9" customHeight="1" x14ac:dyDescent="0.3">
      <c r="A44" s="4"/>
      <c r="B44" s="319" t="str">
        <f>IF('Linfit Worksheet'!K17&lt;&gt;"",IF('Linfit Worksheet'!L17&lt;&gt;"",'Linfit Worksheet'!K17,""),"")</f>
        <v/>
      </c>
      <c r="C44" s="320"/>
      <c r="D44" s="320"/>
      <c r="E44" s="321" t="str">
        <f>IF('Linfit Worksheet'!K17&lt;&gt;"",IF('Linfit Worksheet'!L17&lt;&gt;"",'Linfit Worksheet'!L17,""),"")</f>
        <v/>
      </c>
      <c r="F44" s="322"/>
      <c r="G44" s="323"/>
      <c r="H44" s="324" t="str">
        <f>IF('Linfit Worksheet'!K17&lt;&gt;"",IF('Linfit Worksheet'!L17&lt;&gt;"",'Linfit Worksheet'!N17,""),"")</f>
        <v/>
      </c>
      <c r="I44" s="324"/>
      <c r="J44" s="325"/>
      <c r="L44"/>
      <c r="M44"/>
      <c r="N44"/>
      <c r="O44" s="362"/>
      <c r="P44" s="362"/>
      <c r="Q44" s="362"/>
      <c r="R44" s="362"/>
      <c r="S44" s="362"/>
      <c r="T44" s="362"/>
      <c r="U44" s="362"/>
      <c r="V44" s="362"/>
      <c r="W44" s="362"/>
      <c r="X44" s="362"/>
      <c r="Y44" s="362"/>
      <c r="Z44" s="362"/>
      <c r="AA44" s="362"/>
      <c r="AB44" s="362"/>
      <c r="AC44" s="363"/>
    </row>
    <row r="45" spans="1:29" ht="12.9" customHeight="1" x14ac:dyDescent="0.25">
      <c r="A45" s="4"/>
      <c r="B45" s="319" t="str">
        <f>IF('Linfit Worksheet'!K18&lt;&gt;"",IF('Linfit Worksheet'!L18&lt;&gt;"",'Linfit Worksheet'!K18,""),"")</f>
        <v/>
      </c>
      <c r="C45" s="320"/>
      <c r="D45" s="320"/>
      <c r="E45" s="321" t="str">
        <f>IF('Linfit Worksheet'!K18&lt;&gt;"",IF('Linfit Worksheet'!L18&lt;&gt;"",'Linfit Worksheet'!L18,""),"")</f>
        <v/>
      </c>
      <c r="F45" s="322"/>
      <c r="G45" s="323"/>
      <c r="H45" s="324" t="str">
        <f>IF('Linfit Worksheet'!K18&lt;&gt;"",IF('Linfit Worksheet'!L18&lt;&gt;"",'Linfit Worksheet'!N18,""),"")</f>
        <v/>
      </c>
      <c r="I45" s="324"/>
      <c r="J45" s="325"/>
      <c r="O45" s="362"/>
      <c r="P45" s="362"/>
      <c r="Q45" s="362"/>
      <c r="R45" s="362"/>
      <c r="S45" s="362"/>
      <c r="T45" s="362"/>
      <c r="U45" s="362"/>
      <c r="V45" s="362"/>
      <c r="W45" s="362"/>
      <c r="X45" s="362"/>
      <c r="Y45" s="362"/>
      <c r="Z45" s="362"/>
      <c r="AA45" s="362"/>
      <c r="AB45" s="362"/>
      <c r="AC45" s="363"/>
    </row>
    <row r="46" spans="1:29" ht="12.9" customHeight="1" x14ac:dyDescent="0.25">
      <c r="A46" s="4"/>
      <c r="B46" s="319" t="str">
        <f>IF('Linfit Worksheet'!K19&lt;&gt;"",IF('Linfit Worksheet'!L19&lt;&gt;"",'Linfit Worksheet'!K19,""),"")</f>
        <v/>
      </c>
      <c r="C46" s="320"/>
      <c r="D46" s="320"/>
      <c r="E46" s="321" t="str">
        <f>IF('Linfit Worksheet'!K19&lt;&gt;"",IF('Linfit Worksheet'!L19&lt;&gt;"",'Linfit Worksheet'!L19,""),"")</f>
        <v/>
      </c>
      <c r="F46" s="322"/>
      <c r="G46" s="323"/>
      <c r="H46" s="324" t="str">
        <f>IF('Linfit Worksheet'!K19&lt;&gt;"",IF('Linfit Worksheet'!L19&lt;&gt;"",'Linfit Worksheet'!N19,""),"")</f>
        <v/>
      </c>
      <c r="I46" s="324"/>
      <c r="J46" s="325"/>
      <c r="L46" s="2" t="s">
        <v>245</v>
      </c>
      <c r="U46" s="2" t="s">
        <v>270</v>
      </c>
      <c r="AC46" s="5"/>
    </row>
    <row r="47" spans="1:29" ht="12.9" customHeight="1" x14ac:dyDescent="0.25">
      <c r="A47" s="4"/>
      <c r="B47" s="319" t="str">
        <f>IF('Linfit Worksheet'!K20&lt;&gt;"",IF('Linfit Worksheet'!L20&lt;&gt;"",'Linfit Worksheet'!K20,""),"")</f>
        <v/>
      </c>
      <c r="C47" s="320"/>
      <c r="D47" s="320"/>
      <c r="E47" s="321" t="str">
        <f>IF('Linfit Worksheet'!K20&lt;&gt;"",IF('Linfit Worksheet'!L20&lt;&gt;"",'Linfit Worksheet'!L20,""),"")</f>
        <v/>
      </c>
      <c r="F47" s="322"/>
      <c r="G47" s="323"/>
      <c r="H47" s="324" t="str">
        <f>IF('Linfit Worksheet'!K20&lt;&gt;"",IF('Linfit Worksheet'!L20&lt;&gt;"",'Linfit Worksheet'!N20,""),"")</f>
        <v/>
      </c>
      <c r="I47" s="324"/>
      <c r="J47" s="325"/>
      <c r="L47" s="317" t="s">
        <v>246</v>
      </c>
      <c r="M47" s="317"/>
      <c r="N47" s="317"/>
      <c r="O47" s="318"/>
      <c r="P47" s="318"/>
      <c r="Q47" s="318"/>
      <c r="R47" s="318"/>
      <c r="S47" s="318"/>
      <c r="T47" s="318"/>
      <c r="U47" s="317" t="s">
        <v>249</v>
      </c>
      <c r="V47" s="317"/>
      <c r="W47" s="317"/>
      <c r="X47" s="317"/>
      <c r="Y47" s="364"/>
      <c r="Z47" s="364"/>
      <c r="AA47" s="50" t="s">
        <v>36</v>
      </c>
      <c r="AC47" s="5"/>
    </row>
    <row r="48" spans="1:29" ht="12.9" customHeight="1" x14ac:dyDescent="0.25">
      <c r="A48" s="4"/>
      <c r="B48" s="319" t="str">
        <f>IF('Linfit Worksheet'!K21&lt;&gt;"",IF('Linfit Worksheet'!L21&lt;&gt;"",'Linfit Worksheet'!K21,""),"")</f>
        <v/>
      </c>
      <c r="C48" s="320"/>
      <c r="D48" s="320"/>
      <c r="E48" s="321" t="str">
        <f>IF('Linfit Worksheet'!K21&lt;&gt;"",IF('Linfit Worksheet'!L21&lt;&gt;"",'Linfit Worksheet'!L21,""),"")</f>
        <v/>
      </c>
      <c r="F48" s="322"/>
      <c r="G48" s="323"/>
      <c r="H48" s="324" t="str">
        <f>IF('Linfit Worksheet'!K21&lt;&gt;"",IF('Linfit Worksheet'!L21&lt;&gt;"",'Linfit Worksheet'!N21,""),"")</f>
        <v/>
      </c>
      <c r="I48" s="324"/>
      <c r="J48" s="325"/>
      <c r="L48" s="317" t="s">
        <v>247</v>
      </c>
      <c r="M48" s="317"/>
      <c r="N48" s="317"/>
      <c r="O48" s="318"/>
      <c r="P48" s="318"/>
      <c r="Q48" s="318"/>
      <c r="R48" s="318"/>
      <c r="S48" s="318"/>
      <c r="T48" s="318"/>
      <c r="U48" s="317" t="s">
        <v>250</v>
      </c>
      <c r="V48" s="317"/>
      <c r="W48" s="317"/>
      <c r="X48" s="317"/>
      <c r="Y48" s="365"/>
      <c r="Z48" s="364"/>
      <c r="AA48" s="50" t="s">
        <v>10</v>
      </c>
      <c r="AC48" s="5"/>
    </row>
    <row r="49" spans="1:29" ht="12.9" customHeight="1" x14ac:dyDescent="0.25">
      <c r="A49" s="4"/>
      <c r="B49" s="319" t="str">
        <f>IF('Linfit Worksheet'!K22&lt;&gt;"",IF('Linfit Worksheet'!L22&lt;&gt;"",'Linfit Worksheet'!K22,""),"")</f>
        <v/>
      </c>
      <c r="C49" s="320"/>
      <c r="D49" s="320"/>
      <c r="E49" s="321" t="str">
        <f>IF('Linfit Worksheet'!K22&lt;&gt;"",IF('Linfit Worksheet'!L22&lt;&gt;"",'Linfit Worksheet'!L22,""),"")</f>
        <v/>
      </c>
      <c r="F49" s="322"/>
      <c r="G49" s="323"/>
      <c r="H49" s="324" t="str">
        <f>IF('Linfit Worksheet'!K22&lt;&gt;"",IF('Linfit Worksheet'!L22&lt;&gt;"",'Linfit Worksheet'!N22,""),"")</f>
        <v/>
      </c>
      <c r="I49" s="324"/>
      <c r="J49" s="325"/>
      <c r="AC49" s="5"/>
    </row>
    <row r="50" spans="1:29" ht="12.9" customHeight="1" x14ac:dyDescent="0.25">
      <c r="A50" s="4"/>
      <c r="B50" s="319" t="str">
        <f>IF('Linfit Worksheet'!K23&lt;&gt;"",IF('Linfit Worksheet'!L23&lt;&gt;"",'Linfit Worksheet'!K23,""),"")</f>
        <v/>
      </c>
      <c r="C50" s="320"/>
      <c r="D50" s="320"/>
      <c r="E50" s="321" t="str">
        <f>IF('Linfit Worksheet'!K23&lt;&gt;"",IF('Linfit Worksheet'!L23&lt;&gt;"",'Linfit Worksheet'!L23,""),"")</f>
        <v/>
      </c>
      <c r="F50" s="322"/>
      <c r="G50" s="323"/>
      <c r="H50" s="324" t="str">
        <f>IF('Linfit Worksheet'!K23&lt;&gt;"",IF('Linfit Worksheet'!L23&lt;&gt;"",'Linfit Worksheet'!N23,""),"")</f>
        <v/>
      </c>
      <c r="I50" s="324"/>
      <c r="J50" s="325"/>
      <c r="AC50" s="5"/>
    </row>
    <row r="51" spans="1:29" ht="12.9" customHeight="1" x14ac:dyDescent="0.25">
      <c r="A51" s="4"/>
      <c r="B51" s="319" t="str">
        <f>IF('Linfit Worksheet'!K24&lt;&gt;"",IF('Linfit Worksheet'!L24&lt;&gt;"",'Linfit Worksheet'!K24,""),"")</f>
        <v/>
      </c>
      <c r="C51" s="320"/>
      <c r="D51" s="320"/>
      <c r="E51" s="321" t="str">
        <f>IF('Linfit Worksheet'!K24&lt;&gt;"",IF('Linfit Worksheet'!L24&lt;&gt;"",'Linfit Worksheet'!L24,""),"")</f>
        <v/>
      </c>
      <c r="F51" s="322"/>
      <c r="G51" s="323"/>
      <c r="H51" s="324" t="str">
        <f>IF('Linfit Worksheet'!K24&lt;&gt;"",IF('Linfit Worksheet'!L24&lt;&gt;"",'Linfit Worksheet'!N24,""),"")</f>
        <v/>
      </c>
      <c r="I51" s="324"/>
      <c r="J51" s="325"/>
      <c r="L51" s="2" t="s">
        <v>279</v>
      </c>
      <c r="AC51" s="5"/>
    </row>
    <row r="52" spans="1:29" ht="12.9" customHeight="1" x14ac:dyDescent="0.3">
      <c r="A52" s="4"/>
      <c r="B52" s="319" t="str">
        <f>IF('Linfit Worksheet'!K25&lt;&gt;"",IF('Linfit Worksheet'!L25&lt;&gt;"",'Linfit Worksheet'!K25,""),"")</f>
        <v/>
      </c>
      <c r="C52" s="320"/>
      <c r="D52" s="320"/>
      <c r="E52" s="321" t="str">
        <f>IF('Linfit Worksheet'!K25&lt;&gt;"",IF('Linfit Worksheet'!L25&lt;&gt;"",'Linfit Worksheet'!L25,""),"")</f>
        <v/>
      </c>
      <c r="F52" s="322"/>
      <c r="G52" s="323"/>
      <c r="H52" s="324" t="str">
        <f>IF('Linfit Worksheet'!K25&lt;&gt;"",IF('Linfit Worksheet'!L25&lt;&gt;"",'Linfit Worksheet'!N25,""),"")</f>
        <v/>
      </c>
      <c r="I52" s="324"/>
      <c r="J52" s="325"/>
      <c r="L52" s="317" t="s">
        <v>251</v>
      </c>
      <c r="M52" s="317"/>
      <c r="N52" s="317"/>
      <c r="O52" s="318"/>
      <c r="P52" s="318"/>
      <c r="Q52" s="318"/>
      <c r="R52" s="318"/>
      <c r="S52" s="318"/>
      <c r="T52" s="318"/>
      <c r="U52" s="317" t="s">
        <v>252</v>
      </c>
      <c r="V52" s="317"/>
      <c r="W52" s="317"/>
      <c r="X52" s="317"/>
      <c r="Y52" s="360"/>
      <c r="Z52" s="360"/>
      <c r="AA52" s="360"/>
      <c r="AB52" s="360"/>
      <c r="AC52" s="361"/>
    </row>
    <row r="53" spans="1:29" ht="12.9" customHeight="1" x14ac:dyDescent="0.3">
      <c r="A53" s="4"/>
      <c r="B53" s="319" t="str">
        <f>IF('Linfit Worksheet'!K26&lt;&gt;"",IF('Linfit Worksheet'!L26&lt;&gt;"",'Linfit Worksheet'!K26,""),"")</f>
        <v/>
      </c>
      <c r="C53" s="320"/>
      <c r="D53" s="320"/>
      <c r="E53" s="321" t="str">
        <f>IF('Linfit Worksheet'!K26&lt;&gt;"",IF('Linfit Worksheet'!L26&lt;&gt;"",'Linfit Worksheet'!L26,""),"")</f>
        <v/>
      </c>
      <c r="F53" s="322"/>
      <c r="G53" s="323"/>
      <c r="H53" s="324" t="str">
        <f>IF('Linfit Worksheet'!K26&lt;&gt;"",IF('Linfit Worksheet'!L26&lt;&gt;"",'Linfit Worksheet'!N26,""),"")</f>
        <v/>
      </c>
      <c r="I53" s="324"/>
      <c r="J53" s="325"/>
      <c r="L53" s="317" t="s">
        <v>271</v>
      </c>
      <c r="M53" s="317"/>
      <c r="N53" s="317"/>
      <c r="O53" s="318"/>
      <c r="P53" s="318"/>
      <c r="Q53" s="318"/>
      <c r="R53" s="318"/>
      <c r="S53" s="318"/>
      <c r="T53" s="318"/>
      <c r="U53" s="317" t="s">
        <v>278</v>
      </c>
      <c r="V53" s="317"/>
      <c r="W53" s="317"/>
      <c r="X53" s="317"/>
      <c r="Y53" s="360"/>
      <c r="Z53" s="360"/>
      <c r="AA53" s="360"/>
      <c r="AB53" s="360"/>
      <c r="AC53" s="361"/>
    </row>
    <row r="54" spans="1:29" ht="12.9" customHeight="1" thickBot="1" x14ac:dyDescent="0.35">
      <c r="A54" s="4"/>
      <c r="B54" s="326" t="str">
        <f>IF('Linfit Worksheet'!K27&lt;&gt;"",IF('Linfit Worksheet'!L27&lt;&gt;"",'Linfit Worksheet'!K27,""),"")</f>
        <v/>
      </c>
      <c r="C54" s="327"/>
      <c r="D54" s="327"/>
      <c r="E54" s="328" t="str">
        <f>IF('Linfit Worksheet'!K27&lt;&gt;"",IF('Linfit Worksheet'!L27&lt;&gt;"",'Linfit Worksheet'!L27,""),"")</f>
        <v/>
      </c>
      <c r="F54" s="329"/>
      <c r="G54" s="330"/>
      <c r="H54" s="331" t="str">
        <f>IF('Linfit Worksheet'!K27&lt;&gt;"",IF('Linfit Worksheet'!L27&lt;&gt;"",'Linfit Worksheet'!N27,""),"")</f>
        <v/>
      </c>
      <c r="I54" s="331"/>
      <c r="J54" s="332"/>
      <c r="L54" s="22"/>
      <c r="M54" s="22"/>
      <c r="N54" s="22"/>
      <c r="O54" s="43"/>
      <c r="P54" s="43"/>
      <c r="Q54" s="43"/>
      <c r="R54" s="43"/>
      <c r="S54" s="43"/>
      <c r="T54" s="43"/>
      <c r="U54" s="22"/>
      <c r="V54" s="22"/>
      <c r="W54" s="22"/>
      <c r="X54" s="228"/>
      <c r="Y54" s="228"/>
      <c r="Z54" s="228"/>
      <c r="AA54" s="228"/>
      <c r="AC54" s="5"/>
    </row>
    <row r="55" spans="1:29" ht="12.9" customHeight="1" thickBot="1" x14ac:dyDescent="0.3">
      <c r="A55" s="12"/>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4"/>
    </row>
    <row r="56" spans="1:29" x14ac:dyDescent="0.25"/>
    <row r="57" spans="1:29" x14ac:dyDescent="0.25"/>
  </sheetData>
  <sheetProtection algorithmName="SHA-512" hashValue="5V98+LgysOeu7+hYWOomDJsyvAd2MI0X8OdNwjlNY8HrrIFyETtRczSFG9DYryx8YfqEa2xZaSbZecKYVFzuSg==" saltValue="EDlQt2EbxkKY/LHJOR4T1w==" spinCount="100000" sheet="1" formatCells="0" selectLockedCells="1"/>
  <mergeCells count="158">
    <mergeCell ref="A2:AC2"/>
    <mergeCell ref="B4:F4"/>
    <mergeCell ref="J4:N4"/>
    <mergeCell ref="V4:AB4"/>
    <mergeCell ref="B5:D5"/>
    <mergeCell ref="E5:I5"/>
    <mergeCell ref="J5:N5"/>
    <mergeCell ref="O5:Q5"/>
    <mergeCell ref="L47:N47"/>
    <mergeCell ref="Y6:AA6"/>
    <mergeCell ref="V6:X6"/>
    <mergeCell ref="V5:X5"/>
    <mergeCell ref="Y5:AA5"/>
    <mergeCell ref="R6:T6"/>
    <mergeCell ref="AB6:AC6"/>
    <mergeCell ref="AB5:AC5"/>
    <mergeCell ref="B6:D6"/>
    <mergeCell ref="O6:Q6"/>
    <mergeCell ref="E6:I6"/>
    <mergeCell ref="R5:T5"/>
    <mergeCell ref="AB7:AC7"/>
    <mergeCell ref="Y8:AA8"/>
    <mergeCell ref="Y7:AA7"/>
    <mergeCell ref="R7:T7"/>
    <mergeCell ref="Y53:AC53"/>
    <mergeCell ref="O36:AC36"/>
    <mergeCell ref="O37:AC37"/>
    <mergeCell ref="O38:AC38"/>
    <mergeCell ref="O39:AC39"/>
    <mergeCell ref="O40:AC40"/>
    <mergeCell ref="O41:AC41"/>
    <mergeCell ref="O42:AC42"/>
    <mergeCell ref="O43:AC43"/>
    <mergeCell ref="U48:X48"/>
    <mergeCell ref="O44:AC44"/>
    <mergeCell ref="O45:AC45"/>
    <mergeCell ref="O47:T47"/>
    <mergeCell ref="Y52:AC52"/>
    <mergeCell ref="U52:X52"/>
    <mergeCell ref="U53:X53"/>
    <mergeCell ref="Y47:Z47"/>
    <mergeCell ref="Y48:Z48"/>
    <mergeCell ref="U47:X47"/>
    <mergeCell ref="J8:N8"/>
    <mergeCell ref="H34:J34"/>
    <mergeCell ref="AB8:AC8"/>
    <mergeCell ref="R8:T8"/>
    <mergeCell ref="V8:X8"/>
    <mergeCell ref="B10:H10"/>
    <mergeCell ref="E7:I7"/>
    <mergeCell ref="V7:X7"/>
    <mergeCell ref="O7:Q7"/>
    <mergeCell ref="B7:D7"/>
    <mergeCell ref="J7:N7"/>
    <mergeCell ref="B8:D8"/>
    <mergeCell ref="O8:Q8"/>
    <mergeCell ref="E8:I8"/>
    <mergeCell ref="H33:J33"/>
    <mergeCell ref="L33:AC33"/>
    <mergeCell ref="O9:Q9"/>
    <mergeCell ref="R9:T9"/>
    <mergeCell ref="V9:X9"/>
    <mergeCell ref="L31:AC31"/>
    <mergeCell ref="B30:D30"/>
    <mergeCell ref="E28:G29"/>
    <mergeCell ref="B28:D29"/>
    <mergeCell ref="B33:D33"/>
    <mergeCell ref="AB9:AC9"/>
    <mergeCell ref="H28:J29"/>
    <mergeCell ref="L28:AC28"/>
    <mergeCell ref="L29:AC29"/>
    <mergeCell ref="Y9:AA9"/>
    <mergeCell ref="J9:N9"/>
    <mergeCell ref="H30:J30"/>
    <mergeCell ref="B39:D39"/>
    <mergeCell ref="E39:G39"/>
    <mergeCell ref="H39:J39"/>
    <mergeCell ref="H36:J36"/>
    <mergeCell ref="B38:D38"/>
    <mergeCell ref="L34:AC34"/>
    <mergeCell ref="L35:AC35"/>
    <mergeCell ref="L32:AC32"/>
    <mergeCell ref="A11:AC25"/>
    <mergeCell ref="B27:E27"/>
    <mergeCell ref="L27:M27"/>
    <mergeCell ref="B31:D31"/>
    <mergeCell ref="E31:G31"/>
    <mergeCell ref="H31:J31"/>
    <mergeCell ref="L30:AC30"/>
    <mergeCell ref="B32:D32"/>
    <mergeCell ref="E30:G30"/>
    <mergeCell ref="B42:D42"/>
    <mergeCell ref="E42:G42"/>
    <mergeCell ref="H42:J42"/>
    <mergeCell ref="L41:N41"/>
    <mergeCell ref="B44:D44"/>
    <mergeCell ref="E44:G44"/>
    <mergeCell ref="H44:J44"/>
    <mergeCell ref="B45:D45"/>
    <mergeCell ref="E45:G45"/>
    <mergeCell ref="H45:J45"/>
    <mergeCell ref="E41:G41"/>
    <mergeCell ref="H41:J41"/>
    <mergeCell ref="B41:D41"/>
    <mergeCell ref="B43:D43"/>
    <mergeCell ref="E43:G43"/>
    <mergeCell ref="H43:J43"/>
    <mergeCell ref="E32:G32"/>
    <mergeCell ref="H32:J32"/>
    <mergeCell ref="E38:G38"/>
    <mergeCell ref="H38:J38"/>
    <mergeCell ref="B34:D34"/>
    <mergeCell ref="E34:G34"/>
    <mergeCell ref="B36:D36"/>
    <mergeCell ref="B40:D40"/>
    <mergeCell ref="E40:G40"/>
    <mergeCell ref="H40:J40"/>
    <mergeCell ref="B35:D35"/>
    <mergeCell ref="E35:G35"/>
    <mergeCell ref="H35:J35"/>
    <mergeCell ref="E36:G36"/>
    <mergeCell ref="B37:D37"/>
    <mergeCell ref="E37:G37"/>
    <mergeCell ref="H37:J37"/>
    <mergeCell ref="E33:G33"/>
    <mergeCell ref="B48:D48"/>
    <mergeCell ref="E48:G48"/>
    <mergeCell ref="H48:J48"/>
    <mergeCell ref="O48:T48"/>
    <mergeCell ref="B46:D46"/>
    <mergeCell ref="E46:G46"/>
    <mergeCell ref="H46:J46"/>
    <mergeCell ref="B47:D47"/>
    <mergeCell ref="E47:G47"/>
    <mergeCell ref="H47:J47"/>
    <mergeCell ref="L48:N48"/>
    <mergeCell ref="B50:D50"/>
    <mergeCell ref="E50:G50"/>
    <mergeCell ref="H50:J50"/>
    <mergeCell ref="B49:D49"/>
    <mergeCell ref="E49:G49"/>
    <mergeCell ref="H49:J49"/>
    <mergeCell ref="B51:D51"/>
    <mergeCell ref="E51:G51"/>
    <mergeCell ref="H51:J51"/>
    <mergeCell ref="L53:N53"/>
    <mergeCell ref="O53:T53"/>
    <mergeCell ref="L52:N52"/>
    <mergeCell ref="O52:T52"/>
    <mergeCell ref="B52:D52"/>
    <mergeCell ref="E52:G52"/>
    <mergeCell ref="H52:J52"/>
    <mergeCell ref="B54:D54"/>
    <mergeCell ref="E54:G54"/>
    <mergeCell ref="H54:J54"/>
    <mergeCell ref="B53:D53"/>
    <mergeCell ref="E53:G53"/>
    <mergeCell ref="H53:J53"/>
  </mergeCells>
  <phoneticPr fontId="19" type="noConversion"/>
  <pageMargins left="0.35" right="0.35" top="0.7" bottom="0.4" header="0.5" footer="0.3"/>
  <pageSetup orientation="portrait" r:id="rId1"/>
  <headerFooter>
    <oddFooter>&amp;Rpage 1 of 1</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I4:W12"/>
  <sheetViews>
    <sheetView workbookViewId="0">
      <selection activeCell="B6" sqref="B6"/>
    </sheetView>
  </sheetViews>
  <sheetFormatPr defaultRowHeight="14.4" x14ac:dyDescent="0.3"/>
  <cols>
    <col min="1" max="1" width="25.44140625" customWidth="1"/>
    <col min="2" max="2" width="14.5546875" bestFit="1" customWidth="1"/>
    <col min="3" max="3" width="21.109375" bestFit="1" customWidth="1"/>
    <col min="4" max="4" width="18.6640625" customWidth="1"/>
    <col min="5" max="5" width="14.33203125" bestFit="1" customWidth="1"/>
    <col min="6" max="6" width="14.6640625" bestFit="1" customWidth="1"/>
    <col min="7" max="7" width="24.88671875" bestFit="1" customWidth="1"/>
    <col min="8" max="8" width="28.6640625" bestFit="1" customWidth="1"/>
    <col min="9" max="9" width="24.88671875" bestFit="1" customWidth="1"/>
  </cols>
  <sheetData>
    <row r="4" spans="9:23" x14ac:dyDescent="0.3">
      <c r="M4">
        <v>0</v>
      </c>
      <c r="N4">
        <v>0</v>
      </c>
      <c r="O4">
        <v>0</v>
      </c>
      <c r="P4">
        <v>0</v>
      </c>
      <c r="Q4">
        <v>0</v>
      </c>
      <c r="R4">
        <v>0</v>
      </c>
      <c r="S4">
        <v>0</v>
      </c>
      <c r="T4">
        <v>0</v>
      </c>
      <c r="U4">
        <v>0</v>
      </c>
      <c r="V4">
        <v>0</v>
      </c>
      <c r="W4">
        <v>0</v>
      </c>
    </row>
    <row r="12" spans="9:23" x14ac:dyDescent="0.3">
      <c r="I12" t="b">
        <v>0</v>
      </c>
    </row>
  </sheetData>
  <sortState xmlns:xlrd2="http://schemas.microsoft.com/office/spreadsheetml/2017/richdata2" ref="A13:F30">
    <sortCondition ref="B13"/>
  </sortState>
  <dataConsolidate/>
  <phoneticPr fontId="19"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
  <sheetViews>
    <sheetView workbookViewId="0">
      <selection activeCell="A6" sqref="A6"/>
    </sheetView>
  </sheetViews>
  <sheetFormatPr defaultRowHeight="14.4" x14ac:dyDescent="0.3"/>
  <cols>
    <col min="1" max="1" width="26" customWidth="1"/>
    <col min="2" max="2" width="14.5546875" bestFit="1" customWidth="1"/>
    <col min="3" max="3" width="14.109375" bestFit="1" customWidth="1"/>
    <col min="4" max="4" width="8.44140625" bestFit="1" customWidth="1"/>
    <col min="5" max="5" width="14.33203125" bestFit="1" customWidth="1"/>
    <col min="6" max="6" width="14.6640625" bestFit="1" customWidth="1"/>
    <col min="7" max="7" width="20" bestFit="1" customWidth="1"/>
    <col min="8" max="8" width="28.6640625" bestFit="1" customWidth="1"/>
    <col min="9" max="9" width="24.88671875" bestFit="1" customWidth="1"/>
  </cols>
  <sheetData/>
  <sortState xmlns:xlrd2="http://schemas.microsoft.com/office/spreadsheetml/2017/richdata2" ref="A13:F22">
    <sortCondition ref="F13"/>
  </sortState>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dimension ref="A1:AW50"/>
  <sheetViews>
    <sheetView topLeftCell="A23" zoomScaleNormal="100" zoomScaleSheetLayoutView="100" workbookViewId="0">
      <selection activeCell="G37" sqref="G37:N37"/>
    </sheetView>
  </sheetViews>
  <sheetFormatPr defaultColWidth="0" defaultRowHeight="13.8" x14ac:dyDescent="0.25"/>
  <cols>
    <col min="1" max="1" width="3.6640625" style="234" customWidth="1"/>
    <col min="2" max="2" width="11.6640625" style="234" customWidth="1"/>
    <col min="3" max="3" width="12.6640625" style="234" customWidth="1"/>
    <col min="4" max="4" width="6.6640625" style="234" customWidth="1"/>
    <col min="5" max="6" width="5.6640625" style="234" customWidth="1"/>
    <col min="7" max="7" width="6.6640625" style="234" customWidth="1"/>
    <col min="8" max="8" width="12.6640625" style="234" customWidth="1"/>
    <col min="9" max="9" width="6.6640625" style="234" customWidth="1"/>
    <col min="10" max="10" width="4.6640625" style="234" customWidth="1"/>
    <col min="11" max="12" width="5.6640625" style="234" customWidth="1"/>
    <col min="13" max="13" width="4.6640625" style="234" customWidth="1"/>
    <col min="14" max="14" width="2.6640625" style="234" customWidth="1"/>
    <col min="15" max="15" width="5.6640625" style="234" customWidth="1"/>
    <col min="16" max="17" width="4.6640625" style="234" customWidth="1"/>
    <col min="18" max="49" width="4.6640625" style="234" hidden="1" customWidth="1"/>
    <col min="50" max="16384" width="9.109375" style="234" hidden="1"/>
  </cols>
  <sheetData>
    <row r="1" spans="1:41" ht="9.9" customHeight="1" thickTop="1" x14ac:dyDescent="0.25">
      <c r="A1" s="230"/>
      <c r="B1" s="231"/>
      <c r="C1" s="231"/>
      <c r="D1" s="231"/>
      <c r="E1" s="231"/>
      <c r="F1" s="231"/>
      <c r="G1" s="231"/>
      <c r="H1" s="231"/>
      <c r="I1" s="231"/>
      <c r="J1" s="231"/>
      <c r="K1" s="231"/>
      <c r="L1" s="232"/>
      <c r="M1" s="232"/>
      <c r="N1" s="232"/>
      <c r="O1" s="233"/>
    </row>
    <row r="2" spans="1:41" ht="17.399999999999999" x14ac:dyDescent="0.3">
      <c r="A2" s="457" t="s">
        <v>120</v>
      </c>
      <c r="B2" s="458"/>
      <c r="C2" s="458"/>
      <c r="D2" s="458"/>
      <c r="E2" s="458"/>
      <c r="F2" s="458"/>
      <c r="G2" s="458"/>
      <c r="H2" s="458"/>
      <c r="I2" s="458"/>
      <c r="J2" s="458"/>
      <c r="K2" s="458"/>
      <c r="L2" s="458"/>
      <c r="M2" s="458"/>
      <c r="N2" s="458"/>
      <c r="O2" s="459"/>
    </row>
    <row r="3" spans="1:41" ht="9.75" customHeight="1" x14ac:dyDescent="0.25">
      <c r="A3" s="235"/>
      <c r="B3" s="236"/>
      <c r="C3" s="236"/>
      <c r="D3" s="236"/>
      <c r="E3" s="236"/>
      <c r="F3" s="236"/>
      <c r="G3" s="236"/>
      <c r="H3" s="236"/>
      <c r="I3" s="236"/>
      <c r="J3" s="236"/>
      <c r="K3" s="236"/>
      <c r="O3" s="237"/>
    </row>
    <row r="4" spans="1:41" x14ac:dyDescent="0.25">
      <c r="A4" s="235"/>
      <c r="B4" s="203" t="s">
        <v>133</v>
      </c>
      <c r="C4" s="238"/>
      <c r="D4" s="196"/>
      <c r="E4" s="203" t="s">
        <v>92</v>
      </c>
      <c r="F4" s="210"/>
      <c r="G4" s="238"/>
      <c r="H4" s="238"/>
      <c r="J4" s="203"/>
      <c r="K4" s="203"/>
      <c r="L4" s="203"/>
      <c r="M4" s="203"/>
      <c r="N4" s="203"/>
      <c r="O4" s="270"/>
      <c r="Q4" s="206"/>
      <c r="R4" s="206"/>
      <c r="S4" s="206"/>
      <c r="T4" s="206"/>
      <c r="U4" s="206"/>
      <c r="V4" s="206"/>
      <c r="W4" s="206"/>
      <c r="X4" s="206"/>
      <c r="Y4" s="206"/>
      <c r="Z4" s="206"/>
      <c r="AA4" s="206"/>
      <c r="AB4" s="206"/>
      <c r="AC4" s="206"/>
      <c r="AD4" s="206"/>
      <c r="AE4" s="206"/>
      <c r="AF4" s="198"/>
      <c r="AH4" s="206"/>
      <c r="AI4" s="206"/>
      <c r="AJ4" s="206"/>
      <c r="AK4" s="206"/>
      <c r="AL4" s="206"/>
      <c r="AM4" s="206"/>
      <c r="AN4" s="206"/>
      <c r="AO4" s="206"/>
    </row>
    <row r="5" spans="1:41" x14ac:dyDescent="0.25">
      <c r="A5" s="235"/>
      <c r="B5" s="213" t="s">
        <v>105</v>
      </c>
      <c r="C5" s="267" t="str">
        <f>IF('Vib Analyzer Data'!C5="","",'Vib Analyzer Data'!C5)</f>
        <v/>
      </c>
      <c r="D5" s="196"/>
      <c r="E5" s="462" t="s">
        <v>112</v>
      </c>
      <c r="F5" s="462"/>
      <c r="G5" s="462"/>
      <c r="H5" s="201" t="str">
        <f>IF('Vib Analyzer Data'!H5="","",LOOKUP('Vib Analyzer Data'!H5,RouteRaw!U3:V6))</f>
        <v/>
      </c>
      <c r="K5" s="196"/>
      <c r="L5" s="213"/>
      <c r="M5" s="460"/>
      <c r="N5" s="460"/>
      <c r="O5" s="461"/>
      <c r="P5" s="196"/>
      <c r="R5" s="196"/>
      <c r="S5" s="196"/>
      <c r="T5" s="196"/>
      <c r="U5" s="196"/>
      <c r="V5" s="196"/>
      <c r="W5" s="196"/>
      <c r="X5" s="196"/>
      <c r="Y5" s="196"/>
      <c r="Z5" s="196"/>
      <c r="AA5" s="196"/>
      <c r="AB5" s="196"/>
      <c r="AC5" s="196"/>
      <c r="AD5" s="196"/>
      <c r="AE5" s="196"/>
      <c r="AF5" s="201"/>
      <c r="AH5" s="196"/>
      <c r="AI5" s="196"/>
      <c r="AJ5" s="196"/>
      <c r="AK5" s="196"/>
      <c r="AM5" s="196"/>
      <c r="AN5" s="196"/>
      <c r="AO5" s="196"/>
    </row>
    <row r="6" spans="1:41" x14ac:dyDescent="0.25">
      <c r="A6" s="235"/>
      <c r="B6" s="213" t="s">
        <v>104</v>
      </c>
      <c r="C6" s="267" t="str">
        <f>IF('Vib Analyzer Data'!C6="","",'Vib Analyzer Data'!C6)</f>
        <v/>
      </c>
      <c r="D6" s="196"/>
      <c r="E6" s="462" t="s">
        <v>134</v>
      </c>
      <c r="F6" s="462"/>
      <c r="G6" s="462"/>
      <c r="H6" s="201" t="str">
        <f>IF('Vib Analyzer Data'!H6="","",'Vib Analyzer Data'!H6)</f>
        <v/>
      </c>
      <c r="I6" s="267"/>
      <c r="K6" s="196"/>
      <c r="L6" s="213"/>
      <c r="M6" s="460"/>
      <c r="N6" s="460"/>
      <c r="O6" s="461"/>
      <c r="P6" s="196"/>
      <c r="R6" s="196"/>
      <c r="S6" s="196"/>
      <c r="T6" s="196"/>
      <c r="U6" s="196"/>
      <c r="V6" s="196"/>
      <c r="W6" s="196"/>
      <c r="X6" s="196"/>
      <c r="Y6" s="196"/>
      <c r="Z6" s="196"/>
      <c r="AA6" s="196"/>
      <c r="AB6" s="196"/>
      <c r="AC6" s="196"/>
      <c r="AD6" s="196"/>
      <c r="AE6" s="196"/>
      <c r="AF6" s="201"/>
      <c r="AH6" s="196"/>
      <c r="AI6" s="196"/>
      <c r="AJ6" s="196"/>
      <c r="AK6" s="196"/>
      <c r="AM6" s="196"/>
      <c r="AN6" s="196"/>
      <c r="AO6" s="196"/>
    </row>
    <row r="7" spans="1:41" x14ac:dyDescent="0.25">
      <c r="A7" s="235"/>
      <c r="B7" s="213" t="s">
        <v>103</v>
      </c>
      <c r="C7" s="267" t="str">
        <f>IF('Vib Analyzer Data'!C7="","",'Vib Analyzer Data'!C7)</f>
        <v/>
      </c>
      <c r="D7" s="196"/>
      <c r="E7" s="462" t="s">
        <v>139</v>
      </c>
      <c r="F7" s="462"/>
      <c r="G7" s="462"/>
      <c r="H7" s="201" t="str">
        <f>IF('Vib Analyzer Data'!H7="","",'Vib Analyzer Data'!H7)</f>
        <v/>
      </c>
      <c r="K7" s="196"/>
      <c r="L7" s="213"/>
      <c r="M7" s="460"/>
      <c r="N7" s="460"/>
      <c r="O7" s="461"/>
      <c r="P7" s="196"/>
      <c r="R7" s="196"/>
      <c r="S7" s="196"/>
      <c r="T7" s="196"/>
      <c r="U7" s="196"/>
      <c r="V7" s="196"/>
      <c r="W7" s="196"/>
      <c r="X7" s="196"/>
      <c r="Y7" s="196"/>
      <c r="Z7" s="196"/>
      <c r="AA7" s="196"/>
      <c r="AB7" s="196"/>
      <c r="AC7" s="196"/>
      <c r="AD7" s="196"/>
      <c r="AE7" s="196"/>
      <c r="AF7" s="201"/>
      <c r="AH7" s="196"/>
      <c r="AI7" s="196"/>
      <c r="AJ7" s="196"/>
      <c r="AK7" s="196"/>
      <c r="AM7" s="196"/>
      <c r="AN7" s="196"/>
      <c r="AO7" s="196"/>
    </row>
    <row r="8" spans="1:41" ht="14.25" customHeight="1" x14ac:dyDescent="0.25">
      <c r="A8" s="235"/>
      <c r="B8" s="213" t="s">
        <v>106</v>
      </c>
      <c r="C8" s="267" t="str">
        <f>IF('Vib Analyzer Data'!C8="","",'Vib Analyzer Data'!C8)</f>
        <v/>
      </c>
      <c r="D8" s="196"/>
      <c r="E8" s="462" t="s">
        <v>138</v>
      </c>
      <c r="F8" s="462"/>
      <c r="G8" s="462"/>
      <c r="H8" s="201" t="str">
        <f>IF('Vib Analyzer Data'!H8="","",LOOKUP('Vib Analyzer Data'!H8,RouteRaw!K3:L4))</f>
        <v/>
      </c>
      <c r="J8" s="196"/>
      <c r="K8" s="196"/>
      <c r="L8" s="213"/>
      <c r="M8" s="463"/>
      <c r="N8" s="463"/>
      <c r="O8" s="464"/>
      <c r="P8" s="196"/>
      <c r="R8" s="196"/>
      <c r="S8" s="196"/>
      <c r="T8" s="196"/>
      <c r="U8" s="196"/>
      <c r="V8" s="196"/>
      <c r="W8" s="196"/>
      <c r="X8" s="196"/>
      <c r="Y8" s="196"/>
      <c r="Z8" s="196"/>
      <c r="AA8" s="196"/>
      <c r="AB8" s="196"/>
      <c r="AC8" s="196"/>
      <c r="AD8" s="196"/>
      <c r="AE8" s="196"/>
      <c r="AF8" s="201"/>
      <c r="AH8" s="196"/>
      <c r="AI8" s="196"/>
      <c r="AJ8" s="196"/>
      <c r="AK8" s="196"/>
      <c r="AM8" s="196"/>
      <c r="AN8" s="196"/>
      <c r="AO8" s="196"/>
    </row>
    <row r="9" spans="1:41" x14ac:dyDescent="0.25">
      <c r="A9" s="235"/>
      <c r="B9" s="213" t="s">
        <v>107</v>
      </c>
      <c r="C9" s="253" t="str">
        <f>IF('Vib Analyzer Data'!C9="","",'Vib Analyzer Data'!C9)</f>
        <v/>
      </c>
      <c r="D9" s="196"/>
      <c r="E9" s="462" t="s">
        <v>113</v>
      </c>
      <c r="F9" s="462"/>
      <c r="G9" s="462"/>
      <c r="H9" s="201" t="str">
        <f>IF('Vib Analyzer Data'!H9="","",'Vib Analyzer Data'!H9)</f>
        <v/>
      </c>
      <c r="K9" s="196"/>
      <c r="L9" s="213"/>
      <c r="M9" s="460"/>
      <c r="N9" s="460"/>
      <c r="O9" s="461"/>
      <c r="P9" s="196"/>
      <c r="R9" s="239"/>
      <c r="S9" s="239"/>
      <c r="T9" s="239"/>
      <c r="U9" s="239"/>
      <c r="V9" s="239"/>
      <c r="W9" s="239"/>
      <c r="X9" s="239"/>
      <c r="Y9" s="239"/>
      <c r="Z9" s="239"/>
      <c r="AA9" s="239"/>
      <c r="AB9" s="239"/>
      <c r="AC9" s="239"/>
      <c r="AD9" s="239"/>
      <c r="AE9" s="239"/>
      <c r="AF9" s="229"/>
      <c r="AH9" s="196"/>
      <c r="AI9" s="196"/>
      <c r="AJ9" s="196"/>
      <c r="AK9" s="196"/>
      <c r="AM9" s="196"/>
      <c r="AN9" s="196"/>
      <c r="AO9" s="196"/>
    </row>
    <row r="10" spans="1:41" x14ac:dyDescent="0.25">
      <c r="A10" s="235"/>
      <c r="B10" s="213" t="s">
        <v>108</v>
      </c>
      <c r="C10" s="253" t="str">
        <f>IF('Vib Analyzer Data'!C10="","",'Vib Analyzer Data'!C10)</f>
        <v/>
      </c>
      <c r="D10" s="196"/>
      <c r="E10" s="462" t="s">
        <v>114</v>
      </c>
      <c r="F10" s="462"/>
      <c r="G10" s="462"/>
      <c r="H10" s="201" t="str">
        <f>IF('Vib Analyzer Data'!H10="","",'Vib Analyzer Data'!H10)</f>
        <v/>
      </c>
      <c r="K10" s="196"/>
      <c r="L10" s="213"/>
      <c r="M10" s="460"/>
      <c r="N10" s="460"/>
      <c r="O10" s="461"/>
      <c r="P10" s="196"/>
      <c r="R10" s="239"/>
      <c r="S10" s="239"/>
      <c r="T10" s="239"/>
      <c r="U10" s="239"/>
      <c r="V10" s="239"/>
      <c r="W10" s="239"/>
      <c r="X10" s="239"/>
      <c r="Y10" s="239"/>
      <c r="Z10" s="239"/>
      <c r="AA10" s="239"/>
      <c r="AB10" s="239"/>
      <c r="AC10" s="239"/>
      <c r="AD10" s="239"/>
      <c r="AE10" s="239"/>
      <c r="AF10" s="229"/>
      <c r="AH10" s="196"/>
      <c r="AI10" s="196"/>
      <c r="AJ10" s="196"/>
      <c r="AK10" s="196"/>
      <c r="AM10" s="196"/>
      <c r="AN10" s="196"/>
      <c r="AO10" s="196"/>
    </row>
    <row r="11" spans="1:41" x14ac:dyDescent="0.25">
      <c r="A11" s="235"/>
      <c r="B11" s="213"/>
      <c r="C11" s="239"/>
      <c r="D11" s="196"/>
      <c r="E11" s="462" t="s">
        <v>115</v>
      </c>
      <c r="F11" s="462"/>
      <c r="G11" s="462"/>
      <c r="H11" s="201" t="str">
        <f>IF('Vib Analyzer Data'!H11="","",LOOKUP('Vib Analyzer Data'!H11,RouteRaw!G3:H6))</f>
        <v/>
      </c>
      <c r="K11" s="196"/>
      <c r="L11" s="213"/>
      <c r="M11" s="460"/>
      <c r="N11" s="460"/>
      <c r="O11" s="461"/>
      <c r="P11" s="196"/>
      <c r="R11" s="239"/>
      <c r="S11" s="239"/>
      <c r="T11" s="239"/>
      <c r="U11" s="239"/>
      <c r="V11" s="239"/>
      <c r="W11" s="239"/>
      <c r="X11" s="239"/>
      <c r="Y11" s="239"/>
      <c r="Z11" s="239"/>
      <c r="AA11" s="239"/>
      <c r="AB11" s="239"/>
      <c r="AC11" s="239"/>
      <c r="AD11" s="239"/>
      <c r="AE11" s="239"/>
      <c r="AF11" s="229"/>
      <c r="AH11" s="196"/>
      <c r="AI11" s="196"/>
      <c r="AJ11" s="196"/>
      <c r="AK11" s="196"/>
      <c r="AM11" s="196"/>
      <c r="AN11" s="196"/>
      <c r="AO11" s="196"/>
    </row>
    <row r="12" spans="1:41" ht="14.25" customHeight="1" x14ac:dyDescent="0.25">
      <c r="A12" s="235"/>
      <c r="B12" s="196"/>
      <c r="C12" s="196"/>
      <c r="D12" s="196"/>
      <c r="E12" s="196"/>
      <c r="F12" s="196"/>
      <c r="G12" s="213" t="s">
        <v>124</v>
      </c>
      <c r="H12" s="201" t="str">
        <f>IF('Vib Analyzer Data'!H12="","",'Vib Analyzer Data'!H12)</f>
        <v/>
      </c>
      <c r="I12" s="267" t="str">
        <f>IF('Vib Analyzer Data'!H13="","",LOOKUP('Vib Analyzer Data'!H13,RouteRaw!I3:J4))</f>
        <v/>
      </c>
      <c r="J12" s="196"/>
      <c r="K12" s="196"/>
      <c r="O12" s="237"/>
    </row>
    <row r="13" spans="1:41" x14ac:dyDescent="0.25">
      <c r="A13" s="235"/>
      <c r="B13" s="206" t="s">
        <v>109</v>
      </c>
      <c r="C13" s="206"/>
      <c r="D13" s="206"/>
      <c r="E13" s="206"/>
      <c r="F13" s="206"/>
      <c r="G13" s="206"/>
      <c r="H13" s="206"/>
      <c r="I13" s="206"/>
      <c r="J13" s="206"/>
      <c r="K13" s="196"/>
      <c r="O13" s="237"/>
    </row>
    <row r="14" spans="1:41" s="243" customFormat="1" x14ac:dyDescent="0.3">
      <c r="A14" s="240"/>
      <c r="B14" s="268" t="s">
        <v>8</v>
      </c>
      <c r="C14" s="268" t="s">
        <v>116</v>
      </c>
      <c r="D14" s="467" t="s">
        <v>117</v>
      </c>
      <c r="E14" s="467"/>
      <c r="F14" s="467" t="s">
        <v>130</v>
      </c>
      <c r="G14" s="467"/>
      <c r="H14" s="470" t="s">
        <v>132</v>
      </c>
      <c r="I14" s="470"/>
      <c r="J14" s="471" t="s">
        <v>126</v>
      </c>
      <c r="K14" s="471"/>
      <c r="L14" s="472" t="s">
        <v>127</v>
      </c>
      <c r="M14" s="472"/>
      <c r="N14" s="241"/>
      <c r="O14" s="242"/>
    </row>
    <row r="15" spans="1:41" x14ac:dyDescent="0.25">
      <c r="A15" s="235"/>
      <c r="B15" s="198" t="s">
        <v>111</v>
      </c>
      <c r="C15" s="201" t="str">
        <f>IF('Vib Analyzer Data'!C16="","",'Vib Analyzer Data'!C16)</f>
        <v/>
      </c>
      <c r="D15" s="469" t="str">
        <f>IF('Vib Analyzer Data'!D16:E16="","",'Vib Analyzer Data'!D16:E16)</f>
        <v/>
      </c>
      <c r="E15" s="469"/>
      <c r="F15" s="468" t="str">
        <f>IF('Vib Analyzer Data'!F16="","",'Vib Analyzer Data'!F16)</f>
        <v/>
      </c>
      <c r="G15" s="468"/>
      <c r="H15" s="224" t="str">
        <f>IF('Vib Analyzer Data'!G16="","",'Vib Analyzer Data'!G16)</f>
        <v/>
      </c>
      <c r="I15" s="224" t="str">
        <f>IF('Vib Analyzer Data'!H16="","",'Vib Analyzer Data'!H16)</f>
        <v>mV/g</v>
      </c>
      <c r="J15" s="473">
        <f>IF('Vib Analyzer Data'!K16="","",'Vib Analyzer Data'!K16)</f>
        <v>0.03</v>
      </c>
      <c r="K15" s="473"/>
      <c r="L15" s="473" t="str">
        <f>IF('Vib Analyzer Data'!L16="","",'Vib Analyzer Data'!L16)</f>
        <v/>
      </c>
      <c r="M15" s="473"/>
      <c r="O15" s="237"/>
    </row>
    <row r="16" spans="1:41" x14ac:dyDescent="0.25">
      <c r="A16" s="235"/>
      <c r="B16" s="198" t="s">
        <v>110</v>
      </c>
      <c r="C16" s="201" t="str">
        <f>IF('Vib Analyzer Data'!C17="","",'Vib Analyzer Data'!C17)</f>
        <v/>
      </c>
      <c r="D16" s="466" t="str">
        <f>IF('Vib Analyzer Data'!D17:E17="","",'Vib Analyzer Data'!D17:E17)</f>
        <v/>
      </c>
      <c r="E16" s="466"/>
      <c r="F16" s="465" t="str">
        <f>IF('Vib Analyzer Data'!F17="","",'Vib Analyzer Data'!F17)</f>
        <v/>
      </c>
      <c r="G16" s="465"/>
      <c r="H16" s="224" t="str">
        <f>IF('Vib Analyzer Data'!G17="","",'Vib Analyzer Data'!G17)</f>
        <v/>
      </c>
      <c r="I16" s="224" t="str">
        <f>IF('Vib Analyzer Data'!H17="","",'Vib Analyzer Data'!H17)</f>
        <v>mV/g</v>
      </c>
      <c r="J16" s="474">
        <f>IF('Vib Analyzer Data'!K17="","",'Vib Analyzer Data'!K17)</f>
        <v>0.05</v>
      </c>
      <c r="K16" s="474"/>
      <c r="L16" s="474" t="str">
        <f>IF('Vib Analyzer Data'!L17="","",'Vib Analyzer Data'!L17)</f>
        <v/>
      </c>
      <c r="M16" s="474"/>
      <c r="O16" s="237"/>
    </row>
    <row r="17" spans="1:15" x14ac:dyDescent="0.25">
      <c r="A17" s="235"/>
      <c r="B17" s="198" t="s">
        <v>125</v>
      </c>
      <c r="C17" s="201" t="str">
        <f>IF('Vib Analyzer Data'!C18="","",'Vib Analyzer Data'!C18)</f>
        <v/>
      </c>
      <c r="D17" s="466" t="str">
        <f>IF('Vib Analyzer Data'!D18:E18="","",'Vib Analyzer Data'!D18:E18)</f>
        <v/>
      </c>
      <c r="E17" s="466"/>
      <c r="F17" s="465" t="str">
        <f>IF('Vib Analyzer Data'!F18="","",'Vib Analyzer Data'!F18)</f>
        <v/>
      </c>
      <c r="G17" s="465"/>
      <c r="H17" s="465"/>
      <c r="I17" s="465"/>
      <c r="J17" s="465"/>
      <c r="K17" s="465"/>
      <c r="L17" s="465"/>
      <c r="M17" s="465"/>
      <c r="N17" s="465"/>
      <c r="O17" s="237"/>
    </row>
    <row r="18" spans="1:15" ht="15" customHeight="1" x14ac:dyDescent="0.25">
      <c r="A18" s="235"/>
      <c r="C18" s="244"/>
      <c r="D18" s="244"/>
      <c r="E18" s="245"/>
      <c r="F18" s="245"/>
      <c r="G18" s="196"/>
      <c r="I18" s="244"/>
      <c r="J18" s="244"/>
      <c r="K18" s="196"/>
      <c r="O18" s="237"/>
    </row>
    <row r="19" spans="1:15" ht="15" customHeight="1" x14ac:dyDescent="0.25">
      <c r="A19" s="235"/>
      <c r="C19" s="201"/>
      <c r="G19" s="196"/>
      <c r="I19" s="196"/>
      <c r="K19" s="196"/>
      <c r="O19" s="237"/>
    </row>
    <row r="20" spans="1:15" ht="17.100000000000001" customHeight="1" x14ac:dyDescent="0.25">
      <c r="A20" s="235"/>
      <c r="C20" s="196"/>
      <c r="D20" s="201"/>
      <c r="E20" s="201"/>
      <c r="F20" s="201"/>
      <c r="G20" s="196"/>
      <c r="I20" s="196"/>
      <c r="J20" s="196"/>
      <c r="K20" s="196"/>
      <c r="O20" s="237"/>
    </row>
    <row r="21" spans="1:15" ht="17.100000000000001" customHeight="1" x14ac:dyDescent="0.25">
      <c r="A21" s="235"/>
      <c r="B21" s="196"/>
      <c r="C21" s="196"/>
      <c r="D21" s="201"/>
      <c r="E21" s="201"/>
      <c r="F21" s="201"/>
      <c r="G21" s="196"/>
      <c r="H21" s="196"/>
      <c r="I21" s="196"/>
      <c r="J21" s="196"/>
      <c r="K21" s="196"/>
      <c r="O21" s="237"/>
    </row>
    <row r="22" spans="1:15" ht="15" customHeight="1" x14ac:dyDescent="0.25">
      <c r="A22" s="235"/>
      <c r="B22" s="196"/>
      <c r="C22" s="196"/>
      <c r="D22" s="196"/>
      <c r="E22" s="196"/>
      <c r="F22" s="196"/>
      <c r="G22" s="196"/>
      <c r="H22" s="196"/>
      <c r="I22" s="196"/>
      <c r="J22" s="196"/>
      <c r="K22" s="196"/>
      <c r="O22" s="237"/>
    </row>
    <row r="23" spans="1:15" ht="15" customHeight="1" x14ac:dyDescent="0.25">
      <c r="A23" s="235"/>
      <c r="B23" s="246"/>
      <c r="C23" s="246"/>
      <c r="D23" s="247"/>
      <c r="E23" s="247"/>
      <c r="F23" s="246"/>
      <c r="G23" s="196"/>
      <c r="H23" s="246"/>
      <c r="I23" s="246"/>
      <c r="J23" s="247"/>
      <c r="K23" s="247"/>
      <c r="O23" s="237"/>
    </row>
    <row r="24" spans="1:15" x14ac:dyDescent="0.25">
      <c r="A24" s="235"/>
      <c r="B24" s="201"/>
      <c r="C24" s="201"/>
      <c r="D24" s="248"/>
      <c r="E24" s="248"/>
      <c r="F24" s="269"/>
      <c r="G24" s="196"/>
      <c r="H24" s="201"/>
      <c r="I24" s="201"/>
      <c r="J24" s="248"/>
      <c r="K24" s="248"/>
      <c r="O24" s="237"/>
    </row>
    <row r="25" spans="1:15" x14ac:dyDescent="0.25">
      <c r="A25" s="235"/>
      <c r="B25" s="201"/>
      <c r="C25" s="201"/>
      <c r="D25" s="248"/>
      <c r="E25" s="248"/>
      <c r="F25" s="269"/>
      <c r="G25" s="196"/>
      <c r="H25" s="201"/>
      <c r="I25" s="201"/>
      <c r="J25" s="248"/>
      <c r="K25" s="248"/>
      <c r="O25" s="237"/>
    </row>
    <row r="26" spans="1:15" x14ac:dyDescent="0.25">
      <c r="A26" s="235"/>
      <c r="B26" s="201"/>
      <c r="C26" s="201"/>
      <c r="D26" s="248"/>
      <c r="E26" s="248"/>
      <c r="F26" s="269"/>
      <c r="G26" s="196"/>
      <c r="H26" s="201"/>
      <c r="I26" s="201"/>
      <c r="J26" s="248"/>
      <c r="K26" s="248"/>
      <c r="O26" s="237"/>
    </row>
    <row r="27" spans="1:15" x14ac:dyDescent="0.25">
      <c r="A27" s="235"/>
      <c r="B27" s="201"/>
      <c r="C27" s="201"/>
      <c r="D27" s="248"/>
      <c r="E27" s="248"/>
      <c r="F27" s="269"/>
      <c r="G27" s="196"/>
      <c r="H27" s="201"/>
      <c r="I27" s="201"/>
      <c r="J27" s="248"/>
      <c r="K27" s="248"/>
      <c r="O27" s="237"/>
    </row>
    <row r="28" spans="1:15" x14ac:dyDescent="0.25">
      <c r="A28" s="235"/>
      <c r="B28" s="201"/>
      <c r="C28" s="201"/>
      <c r="D28" s="248"/>
      <c r="E28" s="248"/>
      <c r="F28" s="269"/>
      <c r="G28" s="196"/>
      <c r="H28" s="201"/>
      <c r="I28" s="201"/>
      <c r="J28" s="248"/>
      <c r="K28" s="248"/>
      <c r="O28" s="237"/>
    </row>
    <row r="29" spans="1:15" x14ac:dyDescent="0.25">
      <c r="A29" s="235"/>
      <c r="B29" s="201"/>
      <c r="C29" s="201"/>
      <c r="D29" s="248"/>
      <c r="E29" s="248"/>
      <c r="F29" s="269"/>
      <c r="G29" s="196"/>
      <c r="H29" s="201"/>
      <c r="I29" s="201"/>
      <c r="J29" s="248"/>
      <c r="K29" s="248"/>
      <c r="O29" s="237"/>
    </row>
    <row r="30" spans="1:15" x14ac:dyDescent="0.25">
      <c r="A30" s="235"/>
      <c r="B30" s="201"/>
      <c r="C30" s="201"/>
      <c r="D30" s="248"/>
      <c r="E30" s="248"/>
      <c r="F30" s="269"/>
      <c r="G30" s="196"/>
      <c r="H30" s="201"/>
      <c r="I30" s="201"/>
      <c r="J30" s="248"/>
      <c r="K30" s="248"/>
      <c r="O30" s="237"/>
    </row>
    <row r="31" spans="1:15" x14ac:dyDescent="0.25">
      <c r="A31" s="235"/>
      <c r="B31" s="201"/>
      <c r="C31" s="201"/>
      <c r="D31" s="248"/>
      <c r="E31" s="248"/>
      <c r="F31" s="269"/>
      <c r="G31" s="196"/>
      <c r="H31" s="201"/>
      <c r="I31" s="201"/>
      <c r="J31" s="248"/>
      <c r="K31" s="248"/>
      <c r="O31" s="237"/>
    </row>
    <row r="32" spans="1:15" x14ac:dyDescent="0.25">
      <c r="A32" s="235"/>
      <c r="B32" s="206" t="s">
        <v>11</v>
      </c>
      <c r="C32" s="196"/>
      <c r="D32" s="196"/>
      <c r="E32" s="196"/>
      <c r="G32" s="206" t="s">
        <v>23</v>
      </c>
      <c r="H32" s="201"/>
      <c r="I32" s="201"/>
      <c r="J32" s="248"/>
      <c r="K32" s="248"/>
      <c r="O32" s="237"/>
    </row>
    <row r="33" spans="1:15" ht="22.8" x14ac:dyDescent="0.25">
      <c r="A33" s="235"/>
      <c r="B33" s="260" t="str">
        <f>"Input" &amp; CHAR(10) &amp;" (" &amp; M7 &amp; ")"</f>
        <v>Input
 ()</v>
      </c>
      <c r="C33" s="260" t="str">
        <f>"Measured" &amp; CHAR(10) &amp;"(" &amp; M7 &amp; ")"</f>
        <v>Measured
()</v>
      </c>
      <c r="D33" s="479" t="s">
        <v>127</v>
      </c>
      <c r="E33" s="480"/>
      <c r="F33" s="269"/>
      <c r="G33" s="476"/>
      <c r="H33" s="476"/>
      <c r="I33" s="476"/>
      <c r="J33" s="476"/>
      <c r="K33" s="476"/>
      <c r="L33" s="476"/>
      <c r="M33" s="476"/>
      <c r="N33" s="476"/>
      <c r="O33" s="237"/>
    </row>
    <row r="34" spans="1:15" ht="14.25" customHeight="1" x14ac:dyDescent="0.25">
      <c r="A34" s="235"/>
      <c r="B34" s="273"/>
      <c r="C34" s="273"/>
      <c r="D34" s="477" t="str">
        <f>IF(OR(B34="",C34=""),"",(C34/B34-1)*100)</f>
        <v/>
      </c>
      <c r="E34" s="478"/>
      <c r="F34" s="196"/>
      <c r="G34" s="476"/>
      <c r="H34" s="476"/>
      <c r="I34" s="476"/>
      <c r="J34" s="476"/>
      <c r="K34" s="476"/>
      <c r="L34" s="476"/>
      <c r="M34" s="476"/>
      <c r="N34" s="476"/>
      <c r="O34" s="237"/>
    </row>
    <row r="35" spans="1:15" x14ac:dyDescent="0.25">
      <c r="A35" s="235"/>
      <c r="B35" s="273"/>
      <c r="C35" s="273"/>
      <c r="D35" s="477" t="str">
        <f t="shared" ref="D35:D42" si="0">IF(OR(B35="",C35=""),"",(C35/B35-1)*100)</f>
        <v/>
      </c>
      <c r="E35" s="478"/>
      <c r="F35" s="196"/>
      <c r="G35" s="476"/>
      <c r="H35" s="476"/>
      <c r="I35" s="476"/>
      <c r="J35" s="476"/>
      <c r="K35" s="476"/>
      <c r="L35" s="476"/>
      <c r="M35" s="476"/>
      <c r="N35" s="476"/>
      <c r="O35" s="237"/>
    </row>
    <row r="36" spans="1:15" ht="14.25" customHeight="1" x14ac:dyDescent="0.25">
      <c r="A36" s="235"/>
      <c r="B36" s="273"/>
      <c r="C36" s="273"/>
      <c r="D36" s="477" t="str">
        <f t="shared" si="0"/>
        <v/>
      </c>
      <c r="E36" s="478"/>
      <c r="G36" s="476"/>
      <c r="H36" s="476"/>
      <c r="I36" s="476"/>
      <c r="J36" s="476"/>
      <c r="K36" s="476"/>
      <c r="L36" s="476"/>
      <c r="M36" s="476"/>
      <c r="N36" s="476"/>
      <c r="O36" s="237"/>
    </row>
    <row r="37" spans="1:15" x14ac:dyDescent="0.25">
      <c r="A37" s="235"/>
      <c r="B37" s="273"/>
      <c r="C37" s="273"/>
      <c r="D37" s="477" t="str">
        <f t="shared" si="0"/>
        <v/>
      </c>
      <c r="E37" s="478"/>
      <c r="F37" s="196"/>
      <c r="G37" s="476"/>
      <c r="H37" s="476"/>
      <c r="I37" s="476"/>
      <c r="J37" s="476"/>
      <c r="K37" s="476"/>
      <c r="L37" s="476"/>
      <c r="M37" s="476"/>
      <c r="N37" s="476"/>
      <c r="O37" s="272"/>
    </row>
    <row r="38" spans="1:15" x14ac:dyDescent="0.25">
      <c r="A38" s="235"/>
      <c r="B38" s="273"/>
      <c r="C38" s="273"/>
      <c r="D38" s="477" t="str">
        <f t="shared" si="0"/>
        <v/>
      </c>
      <c r="E38" s="478"/>
      <c r="F38" s="196"/>
      <c r="G38" s="476"/>
      <c r="H38" s="476"/>
      <c r="I38" s="476"/>
      <c r="J38" s="476"/>
      <c r="K38" s="476"/>
      <c r="L38" s="476"/>
      <c r="M38" s="476"/>
      <c r="N38" s="476"/>
      <c r="O38" s="272"/>
    </row>
    <row r="39" spans="1:15" x14ac:dyDescent="0.25">
      <c r="A39" s="235"/>
      <c r="B39" s="273"/>
      <c r="C39" s="273"/>
      <c r="D39" s="477" t="str">
        <f t="shared" si="0"/>
        <v/>
      </c>
      <c r="E39" s="478"/>
      <c r="F39" s="196"/>
      <c r="G39" s="476"/>
      <c r="H39" s="476"/>
      <c r="I39" s="476"/>
      <c r="J39" s="476"/>
      <c r="K39" s="476"/>
      <c r="L39" s="476"/>
      <c r="M39" s="476"/>
      <c r="N39" s="476"/>
      <c r="O39" s="272"/>
    </row>
    <row r="40" spans="1:15" x14ac:dyDescent="0.25">
      <c r="A40" s="235"/>
      <c r="B40" s="273"/>
      <c r="C40" s="273"/>
      <c r="D40" s="477" t="str">
        <f t="shared" si="0"/>
        <v/>
      </c>
      <c r="E40" s="478"/>
      <c r="F40" s="196"/>
      <c r="G40" s="206" t="s">
        <v>123</v>
      </c>
      <c r="H40" s="271"/>
      <c r="I40" s="271"/>
      <c r="J40" s="271"/>
      <c r="K40" s="271"/>
      <c r="L40" s="271"/>
      <c r="M40" s="271"/>
      <c r="N40" s="271"/>
      <c r="O40" s="272"/>
    </row>
    <row r="41" spans="1:15" ht="14.25" customHeight="1" x14ac:dyDescent="0.25">
      <c r="A41" s="235"/>
      <c r="B41" s="273"/>
      <c r="C41" s="273"/>
      <c r="D41" s="477" t="str">
        <f t="shared" si="0"/>
        <v/>
      </c>
      <c r="E41" s="478"/>
      <c r="F41" s="196"/>
      <c r="G41" s="483" t="s">
        <v>159</v>
      </c>
      <c r="H41" s="483"/>
      <c r="I41" s="483"/>
      <c r="J41" s="483"/>
      <c r="K41" s="483"/>
      <c r="L41" s="483"/>
      <c r="M41" s="483"/>
      <c r="N41" s="483"/>
      <c r="O41" s="484"/>
    </row>
    <row r="42" spans="1:15" x14ac:dyDescent="0.25">
      <c r="A42" s="235"/>
      <c r="B42" s="273"/>
      <c r="C42" s="273"/>
      <c r="D42" s="477" t="str">
        <f t="shared" si="0"/>
        <v/>
      </c>
      <c r="E42" s="478"/>
      <c r="F42" s="196"/>
      <c r="G42" s="483"/>
      <c r="H42" s="483"/>
      <c r="I42" s="483"/>
      <c r="J42" s="483"/>
      <c r="K42" s="483"/>
      <c r="L42" s="483"/>
      <c r="M42" s="483"/>
      <c r="N42" s="483"/>
      <c r="O42" s="484"/>
    </row>
    <row r="43" spans="1:15" x14ac:dyDescent="0.25">
      <c r="A43" s="235"/>
      <c r="B43" s="273"/>
      <c r="C43" s="273"/>
      <c r="D43" s="475" t="str">
        <f t="shared" ref="D43" si="1">IF(OR(B43="",C43=""),"",(C43/B43-1)*100)</f>
        <v/>
      </c>
      <c r="E43" s="475"/>
      <c r="F43" s="196"/>
      <c r="G43" s="483"/>
      <c r="H43" s="483"/>
      <c r="I43" s="483"/>
      <c r="J43" s="483"/>
      <c r="K43" s="483"/>
      <c r="L43" s="483"/>
      <c r="M43" s="483"/>
      <c r="N43" s="483"/>
      <c r="O43" s="484"/>
    </row>
    <row r="44" spans="1:15" ht="14.25" customHeight="1" x14ac:dyDescent="0.25">
      <c r="A44" s="235"/>
      <c r="B44" s="273"/>
      <c r="C44" s="273"/>
      <c r="D44" s="475" t="str">
        <f t="shared" ref="D44:D48" si="2">IF(OR(B44="",C44=""),"",(C44/B44-1)*100)</f>
        <v/>
      </c>
      <c r="E44" s="475"/>
      <c r="F44" s="196"/>
      <c r="G44" s="483"/>
      <c r="H44" s="483"/>
      <c r="I44" s="483"/>
      <c r="J44" s="483"/>
      <c r="K44" s="483"/>
      <c r="L44" s="483"/>
      <c r="M44" s="483"/>
      <c r="N44" s="483"/>
      <c r="O44" s="484"/>
    </row>
    <row r="45" spans="1:15" x14ac:dyDescent="0.25">
      <c r="A45" s="235"/>
      <c r="B45" s="273"/>
      <c r="C45" s="273"/>
      <c r="D45" s="475" t="str">
        <f t="shared" si="2"/>
        <v/>
      </c>
      <c r="E45" s="475"/>
      <c r="F45" s="196"/>
      <c r="G45" s="481"/>
      <c r="H45" s="481"/>
      <c r="I45" s="481"/>
      <c r="J45" s="481"/>
      <c r="K45" s="481"/>
      <c r="L45" s="481"/>
      <c r="M45" s="481"/>
      <c r="N45" s="481"/>
      <c r="O45" s="482"/>
    </row>
    <row r="46" spans="1:15" x14ac:dyDescent="0.25">
      <c r="A46" s="235"/>
      <c r="B46" s="273"/>
      <c r="C46" s="273"/>
      <c r="D46" s="475" t="str">
        <f t="shared" si="2"/>
        <v/>
      </c>
      <c r="E46" s="475"/>
      <c r="F46" s="196"/>
      <c r="G46" s="481"/>
      <c r="H46" s="481"/>
      <c r="I46" s="481"/>
      <c r="J46" s="481"/>
      <c r="K46" s="481"/>
      <c r="L46" s="481"/>
      <c r="M46" s="481"/>
      <c r="N46" s="481"/>
      <c r="O46" s="482"/>
    </row>
    <row r="47" spans="1:15" x14ac:dyDescent="0.25">
      <c r="A47" s="235"/>
      <c r="B47" s="273"/>
      <c r="C47" s="273"/>
      <c r="D47" s="475" t="str">
        <f t="shared" si="2"/>
        <v/>
      </c>
      <c r="E47" s="475"/>
      <c r="F47" s="196"/>
      <c r="G47" s="481"/>
      <c r="H47" s="481"/>
      <c r="I47" s="481"/>
      <c r="J47" s="481"/>
      <c r="K47" s="481"/>
      <c r="L47" s="481"/>
      <c r="M47" s="481"/>
      <c r="N47" s="481"/>
      <c r="O47" s="482"/>
    </row>
    <row r="48" spans="1:15" x14ac:dyDescent="0.25">
      <c r="A48" s="235"/>
      <c r="B48" s="273"/>
      <c r="C48" s="273"/>
      <c r="D48" s="475" t="str">
        <f t="shared" si="2"/>
        <v/>
      </c>
      <c r="E48" s="475"/>
      <c r="F48" s="196"/>
      <c r="G48" s="481"/>
      <c r="H48" s="481"/>
      <c r="I48" s="481"/>
      <c r="J48" s="481"/>
      <c r="K48" s="481"/>
      <c r="L48" s="481"/>
      <c r="M48" s="481"/>
      <c r="N48" s="481"/>
      <c r="O48" s="482"/>
    </row>
    <row r="49" spans="1:15" ht="14.4" thickBot="1" x14ac:dyDescent="0.3">
      <c r="A49" s="249"/>
      <c r="B49" s="250"/>
      <c r="C49" s="250"/>
      <c r="D49" s="250"/>
      <c r="E49" s="250"/>
      <c r="F49" s="250"/>
      <c r="G49" s="250"/>
      <c r="H49" s="250"/>
      <c r="I49" s="250"/>
      <c r="J49" s="250"/>
      <c r="K49" s="250"/>
      <c r="L49" s="251"/>
      <c r="M49" s="251"/>
      <c r="N49" s="251"/>
      <c r="O49" s="252"/>
    </row>
    <row r="50" spans="1:15" ht="14.4" thickTop="1" x14ac:dyDescent="0.25"/>
  </sheetData>
  <sheetProtection selectLockedCells="1"/>
  <mergeCells count="59">
    <mergeCell ref="G48:O48"/>
    <mergeCell ref="G36:N36"/>
    <mergeCell ref="G41:O44"/>
    <mergeCell ref="G45:O45"/>
    <mergeCell ref="G46:O46"/>
    <mergeCell ref="G47:O47"/>
    <mergeCell ref="D46:E46"/>
    <mergeCell ref="D47:E47"/>
    <mergeCell ref="D48:E48"/>
    <mergeCell ref="E8:G8"/>
    <mergeCell ref="D34:E34"/>
    <mergeCell ref="D35:E35"/>
    <mergeCell ref="D33:E33"/>
    <mergeCell ref="D45:E45"/>
    <mergeCell ref="D44:E44"/>
    <mergeCell ref="D36:E36"/>
    <mergeCell ref="D37:E37"/>
    <mergeCell ref="D38:E38"/>
    <mergeCell ref="D39:E39"/>
    <mergeCell ref="G33:N33"/>
    <mergeCell ref="G34:N34"/>
    <mergeCell ref="G35:N35"/>
    <mergeCell ref="D43:E43"/>
    <mergeCell ref="F17:G17"/>
    <mergeCell ref="G37:N37"/>
    <mergeCell ref="G38:N38"/>
    <mergeCell ref="G39:N39"/>
    <mergeCell ref="H17:N17"/>
    <mergeCell ref="D40:E40"/>
    <mergeCell ref="D41:E41"/>
    <mergeCell ref="D42:E42"/>
    <mergeCell ref="D17:E17"/>
    <mergeCell ref="M11:O11"/>
    <mergeCell ref="F16:G16"/>
    <mergeCell ref="D16:E16"/>
    <mergeCell ref="F14:G14"/>
    <mergeCell ref="F15:G15"/>
    <mergeCell ref="D14:E14"/>
    <mergeCell ref="D15:E15"/>
    <mergeCell ref="H14:I14"/>
    <mergeCell ref="J14:K14"/>
    <mergeCell ref="L14:M14"/>
    <mergeCell ref="J15:K15"/>
    <mergeCell ref="E11:G11"/>
    <mergeCell ref="J16:K16"/>
    <mergeCell ref="L15:M15"/>
    <mergeCell ref="L16:M16"/>
    <mergeCell ref="A2:O2"/>
    <mergeCell ref="M6:O6"/>
    <mergeCell ref="M7:O7"/>
    <mergeCell ref="M9:O9"/>
    <mergeCell ref="M10:O10"/>
    <mergeCell ref="M5:O5"/>
    <mergeCell ref="E5:G5"/>
    <mergeCell ref="E6:G6"/>
    <mergeCell ref="E7:G7"/>
    <mergeCell ref="E9:G9"/>
    <mergeCell ref="E10:G10"/>
    <mergeCell ref="M8:O8"/>
  </mergeCells>
  <dataValidations count="1">
    <dataValidation type="decimal" operator="greaterThanOrEqual" allowBlank="1" showInputMessage="1" showErrorMessage="1" sqref="B34:C34 C19 I19 B24:C24 H24:I32" xr:uid="{00000000-0002-0000-0900-000000000000}">
      <formula1>0</formula1>
    </dataValidation>
  </dataValidations>
  <printOptions horizontalCentered="1"/>
  <pageMargins left="0.25" right="0.25" top="0.5" bottom="0.5" header="0.05" footer="0.05"/>
  <pageSetup orientation="portrait" r:id="rId1"/>
  <ignoredErrors>
    <ignoredError sqref="D15:D16"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L45"/>
  <sheetViews>
    <sheetView zoomScale="70" zoomScaleNormal="70" workbookViewId="0">
      <selection activeCell="D1" sqref="D1"/>
    </sheetView>
  </sheetViews>
  <sheetFormatPr defaultRowHeight="14.4" x14ac:dyDescent="0.3"/>
  <cols>
    <col min="1" max="1" width="10.88671875" customWidth="1"/>
    <col min="2" max="2" width="11" customWidth="1"/>
    <col min="3" max="3" width="15.6640625" customWidth="1"/>
    <col min="4" max="4" width="13.109375" bestFit="1" customWidth="1"/>
    <col min="15" max="15" width="10.6640625" customWidth="1"/>
  </cols>
  <sheetData>
    <row r="1" spans="1:12" x14ac:dyDescent="0.3">
      <c r="A1" s="411" t="s">
        <v>64</v>
      </c>
      <c r="B1" s="411"/>
      <c r="C1" s="411"/>
      <c r="D1" s="163" t="str">
        <f>'Linfit Worksheet'!L29</f>
        <v>Version: 3.2.4</v>
      </c>
    </row>
    <row r="2" spans="1:12" x14ac:dyDescent="0.3">
      <c r="A2" s="291" t="s">
        <v>69</v>
      </c>
      <c r="B2" s="291" t="s">
        <v>150</v>
      </c>
    </row>
    <row r="3" spans="1:12" x14ac:dyDescent="0.3">
      <c r="A3" t="s">
        <v>62</v>
      </c>
      <c r="B3" s="425" t="s">
        <v>63</v>
      </c>
      <c r="C3" s="425"/>
      <c r="D3" s="425"/>
      <c r="E3" s="425"/>
      <c r="F3" s="425"/>
      <c r="G3" s="425"/>
      <c r="H3" s="425"/>
      <c r="I3" s="425"/>
      <c r="J3" s="425"/>
      <c r="K3" s="425"/>
      <c r="L3" s="425"/>
    </row>
    <row r="5" spans="1:12" ht="15" customHeight="1" x14ac:dyDescent="0.3">
      <c r="A5" t="s">
        <v>67</v>
      </c>
      <c r="B5" s="487" t="s">
        <v>68</v>
      </c>
      <c r="C5" s="487"/>
      <c r="D5" s="487"/>
      <c r="E5" s="487"/>
      <c r="F5" s="487"/>
      <c r="G5" s="487"/>
      <c r="H5" s="487"/>
      <c r="I5" s="487"/>
      <c r="J5" s="487"/>
      <c r="K5" s="487"/>
      <c r="L5" s="487"/>
    </row>
    <row r="6" spans="1:12" x14ac:dyDescent="0.3">
      <c r="B6" s="487"/>
      <c r="C6" s="487"/>
      <c r="D6" s="487"/>
      <c r="E6" s="487"/>
      <c r="F6" s="487"/>
      <c r="G6" s="487"/>
      <c r="H6" s="487"/>
      <c r="I6" s="487"/>
      <c r="J6" s="487"/>
      <c r="K6" s="487"/>
      <c r="L6" s="487"/>
    </row>
    <row r="7" spans="1:12" x14ac:dyDescent="0.3">
      <c r="B7" s="181"/>
      <c r="C7" s="181"/>
      <c r="D7" s="181"/>
      <c r="E7" s="181"/>
      <c r="F7" s="181"/>
      <c r="G7" s="181"/>
      <c r="H7" s="181"/>
      <c r="I7" s="181"/>
    </row>
    <row r="8" spans="1:12" x14ac:dyDescent="0.3">
      <c r="A8" t="s">
        <v>70</v>
      </c>
      <c r="B8" s="487" t="s">
        <v>71</v>
      </c>
      <c r="C8" s="488"/>
      <c r="D8" s="488"/>
      <c r="E8" s="488"/>
      <c r="F8" s="488"/>
      <c r="G8" s="488"/>
      <c r="H8" s="488"/>
      <c r="I8" s="488"/>
      <c r="J8" s="488"/>
      <c r="K8" s="488"/>
      <c r="L8" s="488"/>
    </row>
    <row r="9" spans="1:12" x14ac:dyDescent="0.3">
      <c r="B9" s="488"/>
      <c r="C9" s="488"/>
      <c r="D9" s="488"/>
      <c r="E9" s="488"/>
      <c r="F9" s="488"/>
      <c r="G9" s="488"/>
      <c r="H9" s="488"/>
      <c r="I9" s="488"/>
      <c r="J9" s="488"/>
      <c r="K9" s="488"/>
      <c r="L9" s="488"/>
    </row>
    <row r="10" spans="1:12" x14ac:dyDescent="0.3">
      <c r="B10" s="488"/>
      <c r="C10" s="488"/>
      <c r="D10" s="488"/>
      <c r="E10" s="488"/>
      <c r="F10" s="488"/>
      <c r="G10" s="488"/>
      <c r="H10" s="488"/>
      <c r="I10" s="488"/>
      <c r="J10" s="488"/>
      <c r="K10" s="488"/>
      <c r="L10" s="488"/>
    </row>
    <row r="11" spans="1:12" x14ac:dyDescent="0.3">
      <c r="B11" s="488"/>
      <c r="C11" s="488"/>
      <c r="D11" s="488"/>
      <c r="E11" s="488"/>
      <c r="F11" s="488"/>
      <c r="G11" s="488"/>
      <c r="H11" s="488"/>
      <c r="I11" s="488"/>
      <c r="J11" s="488"/>
      <c r="K11" s="488"/>
      <c r="L11" s="488"/>
    </row>
    <row r="12" spans="1:12" x14ac:dyDescent="0.3">
      <c r="B12" s="488"/>
      <c r="C12" s="488"/>
      <c r="D12" s="488"/>
      <c r="E12" s="488"/>
      <c r="F12" s="488"/>
      <c r="G12" s="488"/>
      <c r="H12" s="488"/>
      <c r="I12" s="488"/>
      <c r="J12" s="488"/>
      <c r="K12" s="488"/>
      <c r="L12" s="488"/>
    </row>
    <row r="13" spans="1:12" x14ac:dyDescent="0.3">
      <c r="B13" s="488"/>
      <c r="C13" s="488"/>
      <c r="D13" s="488"/>
      <c r="E13" s="488"/>
      <c r="F13" s="488"/>
      <c r="G13" s="488"/>
      <c r="H13" s="488"/>
      <c r="I13" s="488"/>
      <c r="J13" s="488"/>
      <c r="K13" s="488"/>
      <c r="L13" s="488"/>
    </row>
    <row r="14" spans="1:12" x14ac:dyDescent="0.3">
      <c r="B14" s="488"/>
      <c r="C14" s="488"/>
      <c r="D14" s="488"/>
      <c r="E14" s="488"/>
      <c r="F14" s="488"/>
      <c r="G14" s="488"/>
      <c r="H14" s="488"/>
      <c r="I14" s="488"/>
      <c r="J14" s="488"/>
      <c r="K14" s="488"/>
      <c r="L14" s="488"/>
    </row>
    <row r="16" spans="1:12" x14ac:dyDescent="0.3">
      <c r="A16" t="s">
        <v>73</v>
      </c>
      <c r="B16" s="486" t="s">
        <v>74</v>
      </c>
      <c r="C16" s="486"/>
      <c r="D16" s="486"/>
      <c r="E16" s="486"/>
      <c r="F16" s="486"/>
      <c r="G16" s="486"/>
      <c r="H16" s="486"/>
      <c r="I16" s="486"/>
      <c r="J16" s="486"/>
      <c r="K16" s="486"/>
      <c r="L16" s="486"/>
    </row>
    <row r="17" spans="1:12" x14ac:dyDescent="0.3">
      <c r="B17" s="486"/>
      <c r="C17" s="486"/>
      <c r="D17" s="486"/>
      <c r="E17" s="486"/>
      <c r="F17" s="486"/>
      <c r="G17" s="486"/>
      <c r="H17" s="486"/>
      <c r="I17" s="486"/>
      <c r="J17" s="486"/>
      <c r="K17" s="486"/>
      <c r="L17" s="486"/>
    </row>
    <row r="18" spans="1:12" x14ac:dyDescent="0.3">
      <c r="B18" s="486"/>
      <c r="C18" s="486"/>
      <c r="D18" s="486"/>
      <c r="E18" s="486"/>
      <c r="F18" s="486"/>
      <c r="G18" s="486"/>
      <c r="H18" s="486"/>
      <c r="I18" s="486"/>
      <c r="J18" s="486"/>
      <c r="K18" s="486"/>
      <c r="L18" s="486"/>
    </row>
    <row r="19" spans="1:12" x14ac:dyDescent="0.3">
      <c r="B19" s="486"/>
      <c r="C19" s="486"/>
      <c r="D19" s="486"/>
      <c r="E19" s="486"/>
      <c r="F19" s="486"/>
      <c r="G19" s="486"/>
      <c r="H19" s="486"/>
      <c r="I19" s="486"/>
      <c r="J19" s="486"/>
      <c r="K19" s="486"/>
      <c r="L19" s="486"/>
    </row>
    <row r="20" spans="1:12" x14ac:dyDescent="0.3">
      <c r="B20" s="486"/>
      <c r="C20" s="486"/>
      <c r="D20" s="486"/>
      <c r="E20" s="486"/>
      <c r="F20" s="486"/>
      <c r="G20" s="486"/>
      <c r="H20" s="486"/>
      <c r="I20" s="486"/>
      <c r="J20" s="486"/>
      <c r="K20" s="486"/>
      <c r="L20" s="486"/>
    </row>
    <row r="21" spans="1:12" x14ac:dyDescent="0.3">
      <c r="B21" s="184"/>
      <c r="C21" s="184"/>
      <c r="D21" s="184"/>
      <c r="E21" s="184"/>
      <c r="F21" s="184"/>
      <c r="G21" s="184"/>
      <c r="H21" s="184"/>
      <c r="I21" s="184"/>
      <c r="J21" s="184"/>
      <c r="K21" s="184"/>
      <c r="L21" s="184"/>
    </row>
    <row r="22" spans="1:12" x14ac:dyDescent="0.3">
      <c r="A22" t="s">
        <v>75</v>
      </c>
      <c r="B22" s="486" t="s">
        <v>76</v>
      </c>
      <c r="C22" s="486"/>
      <c r="D22" s="486"/>
      <c r="E22" s="486"/>
      <c r="F22" s="486"/>
      <c r="G22" s="486"/>
      <c r="H22" s="486"/>
      <c r="I22" s="486"/>
      <c r="J22" s="486"/>
      <c r="K22" s="486"/>
      <c r="L22" s="486"/>
    </row>
    <row r="23" spans="1:12" x14ac:dyDescent="0.3">
      <c r="B23" s="486"/>
      <c r="C23" s="486"/>
      <c r="D23" s="486"/>
      <c r="E23" s="486"/>
      <c r="F23" s="486"/>
      <c r="G23" s="486"/>
      <c r="H23" s="486"/>
      <c r="I23" s="486"/>
      <c r="J23" s="486"/>
      <c r="K23" s="486"/>
      <c r="L23" s="486"/>
    </row>
    <row r="24" spans="1:12" x14ac:dyDescent="0.3">
      <c r="B24" s="486"/>
      <c r="C24" s="486"/>
      <c r="D24" s="486"/>
      <c r="E24" s="486"/>
      <c r="F24" s="486"/>
      <c r="G24" s="486"/>
      <c r="H24" s="486"/>
      <c r="I24" s="486"/>
      <c r="J24" s="486"/>
      <c r="K24" s="486"/>
      <c r="L24" s="486"/>
    </row>
    <row r="25" spans="1:12" x14ac:dyDescent="0.3">
      <c r="B25" s="486"/>
      <c r="C25" s="486"/>
      <c r="D25" s="486"/>
      <c r="E25" s="486"/>
      <c r="F25" s="486"/>
      <c r="G25" s="486"/>
      <c r="H25" s="486"/>
      <c r="I25" s="486"/>
      <c r="J25" s="486"/>
      <c r="K25" s="486"/>
      <c r="L25" s="486"/>
    </row>
    <row r="26" spans="1:12" x14ac:dyDescent="0.3">
      <c r="B26" s="486"/>
      <c r="C26" s="486"/>
      <c r="D26" s="486"/>
      <c r="E26" s="486"/>
      <c r="F26" s="486"/>
      <c r="G26" s="486"/>
      <c r="H26" s="486"/>
      <c r="I26" s="486"/>
      <c r="J26" s="486"/>
      <c r="K26" s="486"/>
      <c r="L26" s="486"/>
    </row>
    <row r="28" spans="1:12" x14ac:dyDescent="0.3">
      <c r="A28" t="s">
        <v>77</v>
      </c>
      <c r="B28" s="486" t="s">
        <v>78</v>
      </c>
      <c r="C28" s="486"/>
      <c r="D28" s="486"/>
      <c r="E28" s="486"/>
      <c r="F28" s="486"/>
      <c r="G28" s="486"/>
      <c r="H28" s="486"/>
      <c r="I28" s="486"/>
      <c r="J28" s="486"/>
      <c r="K28" s="486"/>
      <c r="L28" s="486"/>
    </row>
    <row r="29" spans="1:12" x14ac:dyDescent="0.3">
      <c r="B29" s="486"/>
      <c r="C29" s="486"/>
      <c r="D29" s="486"/>
      <c r="E29" s="486"/>
      <c r="F29" s="486"/>
      <c r="G29" s="486"/>
      <c r="H29" s="486"/>
      <c r="I29" s="486"/>
      <c r="J29" s="486"/>
      <c r="K29" s="486"/>
      <c r="L29" s="486"/>
    </row>
    <row r="30" spans="1:12" x14ac:dyDescent="0.3">
      <c r="B30" s="486"/>
      <c r="C30" s="486"/>
      <c r="D30" s="486"/>
      <c r="E30" s="486"/>
      <c r="F30" s="486"/>
      <c r="G30" s="486"/>
      <c r="H30" s="486"/>
      <c r="I30" s="486"/>
      <c r="J30" s="486"/>
      <c r="K30" s="486"/>
      <c r="L30" s="486"/>
    </row>
    <row r="31" spans="1:12" x14ac:dyDescent="0.3">
      <c r="B31" s="486"/>
      <c r="C31" s="486"/>
      <c r="D31" s="486"/>
      <c r="E31" s="486"/>
      <c r="F31" s="486"/>
      <c r="G31" s="486"/>
      <c r="H31" s="486"/>
      <c r="I31" s="486"/>
      <c r="J31" s="486"/>
      <c r="K31" s="486"/>
      <c r="L31" s="486"/>
    </row>
    <row r="32" spans="1:12" x14ac:dyDescent="0.3">
      <c r="B32" s="486"/>
      <c r="C32" s="486"/>
      <c r="D32" s="486"/>
      <c r="E32" s="486"/>
      <c r="F32" s="486"/>
      <c r="G32" s="486"/>
      <c r="H32" s="486"/>
      <c r="I32" s="486"/>
      <c r="J32" s="486"/>
      <c r="K32" s="486"/>
      <c r="L32" s="486"/>
    </row>
    <row r="34" spans="1:12" x14ac:dyDescent="0.3">
      <c r="A34" t="s">
        <v>89</v>
      </c>
      <c r="B34" s="485" t="s">
        <v>90</v>
      </c>
      <c r="C34" s="485"/>
      <c r="D34" s="485"/>
      <c r="E34" s="485"/>
      <c r="F34" s="485"/>
      <c r="G34" s="485"/>
      <c r="H34" s="485"/>
      <c r="I34" s="485"/>
      <c r="J34" s="485"/>
      <c r="K34" s="485"/>
      <c r="L34" s="485"/>
    </row>
    <row r="35" spans="1:12" x14ac:dyDescent="0.3">
      <c r="B35" s="485"/>
      <c r="C35" s="485"/>
      <c r="D35" s="485"/>
      <c r="E35" s="485"/>
      <c r="F35" s="485"/>
      <c r="G35" s="485"/>
      <c r="H35" s="485"/>
      <c r="I35" s="485"/>
      <c r="J35" s="485"/>
      <c r="K35" s="485"/>
      <c r="L35" s="485"/>
    </row>
    <row r="36" spans="1:12" x14ac:dyDescent="0.3">
      <c r="A36" t="s">
        <v>95</v>
      </c>
      <c r="B36" t="s">
        <v>96</v>
      </c>
    </row>
    <row r="37" spans="1:12" x14ac:dyDescent="0.3">
      <c r="B37" t="s">
        <v>97</v>
      </c>
    </row>
    <row r="38" spans="1:12" x14ac:dyDescent="0.3">
      <c r="B38" t="s">
        <v>102</v>
      </c>
    </row>
    <row r="40" spans="1:12" x14ac:dyDescent="0.3">
      <c r="A40" t="s">
        <v>142</v>
      </c>
      <c r="B40" t="s">
        <v>143</v>
      </c>
    </row>
    <row r="41" spans="1:12" x14ac:dyDescent="0.3">
      <c r="A41" t="s">
        <v>149</v>
      </c>
      <c r="B41" t="s">
        <v>151</v>
      </c>
    </row>
    <row r="42" spans="1:12" x14ac:dyDescent="0.3">
      <c r="A42" t="s">
        <v>153</v>
      </c>
      <c r="B42" t="s">
        <v>152</v>
      </c>
    </row>
    <row r="43" spans="1:12" x14ac:dyDescent="0.3">
      <c r="A43" t="s">
        <v>154</v>
      </c>
      <c r="B43" t="s">
        <v>155</v>
      </c>
    </row>
    <row r="44" spans="1:12" x14ac:dyDescent="0.3">
      <c r="A44" t="s">
        <v>156</v>
      </c>
      <c r="B44" t="s">
        <v>157</v>
      </c>
    </row>
    <row r="45" spans="1:12" x14ac:dyDescent="0.3">
      <c r="A45" t="s">
        <v>158</v>
      </c>
      <c r="B45" t="s">
        <v>160</v>
      </c>
    </row>
  </sheetData>
  <mergeCells count="8">
    <mergeCell ref="B34:L35"/>
    <mergeCell ref="B22:L26"/>
    <mergeCell ref="B28:L32"/>
    <mergeCell ref="A1:C1"/>
    <mergeCell ref="B8:L14"/>
    <mergeCell ref="B5:L6"/>
    <mergeCell ref="B3:L3"/>
    <mergeCell ref="B16:L2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dimension ref="A1:V26"/>
  <sheetViews>
    <sheetView workbookViewId="0">
      <selection activeCell="G14" sqref="G14"/>
    </sheetView>
  </sheetViews>
  <sheetFormatPr defaultRowHeight="14.4" x14ac:dyDescent="0.3"/>
  <cols>
    <col min="15" max="15" width="10.44140625" bestFit="1" customWidth="1"/>
  </cols>
  <sheetData>
    <row r="1" spans="1:22" x14ac:dyDescent="0.3">
      <c r="B1" t="s">
        <v>41</v>
      </c>
      <c r="C1" t="s">
        <v>40</v>
      </c>
      <c r="D1" t="s">
        <v>47</v>
      </c>
      <c r="E1" t="s">
        <v>52</v>
      </c>
      <c r="H1" t="s">
        <v>98</v>
      </c>
    </row>
    <row r="2" spans="1:22" x14ac:dyDescent="0.3">
      <c r="A2">
        <v>1</v>
      </c>
      <c r="B2" t="s">
        <v>42</v>
      </c>
      <c r="C2" t="s">
        <v>44</v>
      </c>
      <c r="E2" t="s">
        <v>61</v>
      </c>
    </row>
    <row r="3" spans="1:22" x14ac:dyDescent="0.3">
      <c r="A3">
        <v>2</v>
      </c>
      <c r="B3" t="s">
        <v>43</v>
      </c>
      <c r="C3" t="s">
        <v>45</v>
      </c>
      <c r="D3" t="s">
        <v>54</v>
      </c>
      <c r="E3" t="s">
        <v>53</v>
      </c>
      <c r="G3">
        <v>1</v>
      </c>
      <c r="H3" t="s">
        <v>93</v>
      </c>
      <c r="I3">
        <v>1</v>
      </c>
      <c r="J3" t="s">
        <v>128</v>
      </c>
      <c r="K3">
        <v>1</v>
      </c>
      <c r="L3" t="s">
        <v>6</v>
      </c>
      <c r="N3">
        <v>1</v>
      </c>
      <c r="O3" t="s">
        <v>54</v>
      </c>
      <c r="P3" s="161">
        <v>1</v>
      </c>
      <c r="R3" t="s">
        <v>42</v>
      </c>
      <c r="S3">
        <v>1</v>
      </c>
      <c r="U3">
        <v>1</v>
      </c>
      <c r="V3" t="s">
        <v>135</v>
      </c>
    </row>
    <row r="4" spans="1:22" x14ac:dyDescent="0.3">
      <c r="C4" t="s">
        <v>46</v>
      </c>
      <c r="D4" t="s">
        <v>48</v>
      </c>
      <c r="E4" t="s">
        <v>51</v>
      </c>
      <c r="G4">
        <v>2</v>
      </c>
      <c r="H4" t="s">
        <v>99</v>
      </c>
      <c r="I4">
        <v>2</v>
      </c>
      <c r="J4" t="s">
        <v>129</v>
      </c>
      <c r="K4">
        <v>2</v>
      </c>
      <c r="L4" t="s">
        <v>43</v>
      </c>
      <c r="N4">
        <v>2</v>
      </c>
      <c r="O4" t="s">
        <v>48</v>
      </c>
      <c r="P4" s="161">
        <v>2</v>
      </c>
      <c r="R4" t="s">
        <v>43</v>
      </c>
      <c r="S4">
        <v>2</v>
      </c>
      <c r="U4">
        <v>2</v>
      </c>
      <c r="V4" t="s">
        <v>136</v>
      </c>
    </row>
    <row r="5" spans="1:22" x14ac:dyDescent="0.3">
      <c r="A5" s="163"/>
      <c r="C5" t="s">
        <v>141</v>
      </c>
      <c r="D5" t="s">
        <v>55</v>
      </c>
      <c r="G5">
        <v>3</v>
      </c>
      <c r="H5" t="s">
        <v>100</v>
      </c>
      <c r="N5">
        <v>3</v>
      </c>
      <c r="O5" t="s">
        <v>55</v>
      </c>
      <c r="P5" s="161">
        <v>3</v>
      </c>
      <c r="U5">
        <v>3</v>
      </c>
      <c r="V5" t="s">
        <v>137</v>
      </c>
    </row>
    <row r="6" spans="1:22" x14ac:dyDescent="0.3">
      <c r="A6" s="163"/>
      <c r="C6" t="s">
        <v>148</v>
      </c>
      <c r="D6" t="s">
        <v>49</v>
      </c>
      <c r="G6">
        <v>4</v>
      </c>
      <c r="H6" t="s">
        <v>101</v>
      </c>
      <c r="N6">
        <v>4</v>
      </c>
      <c r="O6" t="s">
        <v>49</v>
      </c>
      <c r="P6" s="161">
        <v>4</v>
      </c>
    </row>
    <row r="7" spans="1:22" x14ac:dyDescent="0.3">
      <c r="D7" t="s">
        <v>57</v>
      </c>
      <c r="N7">
        <v>5</v>
      </c>
      <c r="O7" t="s">
        <v>57</v>
      </c>
      <c r="P7" s="161">
        <v>5</v>
      </c>
    </row>
    <row r="8" spans="1:22" x14ac:dyDescent="0.3">
      <c r="D8" t="s">
        <v>58</v>
      </c>
      <c r="N8">
        <v>6</v>
      </c>
      <c r="O8" t="s">
        <v>58</v>
      </c>
      <c r="P8" s="161">
        <v>6</v>
      </c>
    </row>
    <row r="9" spans="1:22" x14ac:dyDescent="0.3">
      <c r="D9" t="s">
        <v>59</v>
      </c>
      <c r="N9">
        <v>7</v>
      </c>
      <c r="O9" t="s">
        <v>59</v>
      </c>
      <c r="P9" s="161">
        <v>7</v>
      </c>
    </row>
    <row r="10" spans="1:22" x14ac:dyDescent="0.3">
      <c r="D10" t="s">
        <v>56</v>
      </c>
      <c r="N10">
        <v>8</v>
      </c>
      <c r="O10" t="s">
        <v>56</v>
      </c>
      <c r="P10" s="161">
        <v>8</v>
      </c>
    </row>
    <row r="11" spans="1:22" x14ac:dyDescent="0.3">
      <c r="D11" t="s">
        <v>50</v>
      </c>
      <c r="N11">
        <v>9</v>
      </c>
      <c r="O11" t="s">
        <v>50</v>
      </c>
      <c r="P11" s="161">
        <v>9</v>
      </c>
    </row>
    <row r="12" spans="1:22" x14ac:dyDescent="0.3">
      <c r="D12" t="s">
        <v>60</v>
      </c>
      <c r="N12">
        <v>10</v>
      </c>
      <c r="O12" t="s">
        <v>60</v>
      </c>
      <c r="P12" s="161">
        <v>10</v>
      </c>
    </row>
    <row r="15" spans="1:22" x14ac:dyDescent="0.3">
      <c r="A15" s="254"/>
      <c r="B15" s="254"/>
      <c r="C15" s="254"/>
      <c r="D15" s="254"/>
      <c r="E15" s="254"/>
      <c r="F15" s="254"/>
      <c r="G15" s="254"/>
      <c r="H15" s="254"/>
      <c r="I15" s="254"/>
      <c r="J15" s="254"/>
      <c r="K15" s="254"/>
      <c r="L15" s="254"/>
      <c r="M15" s="254"/>
      <c r="N15" s="254"/>
      <c r="O15" s="254"/>
      <c r="P15" s="254"/>
    </row>
    <row r="17" spans="1:6" x14ac:dyDescent="0.3">
      <c r="A17" s="203" t="s">
        <v>91</v>
      </c>
      <c r="B17" s="203"/>
      <c r="C17" s="203"/>
      <c r="D17" s="203"/>
      <c r="E17" s="203"/>
      <c r="F17" s="234"/>
    </row>
    <row r="18" spans="1:6" x14ac:dyDescent="0.3">
      <c r="A18" s="234"/>
      <c r="B18" s="196"/>
      <c r="C18" s="213" t="s">
        <v>118</v>
      </c>
      <c r="D18" s="460" t="str">
        <f>IF('Vib Analyzer Data'!K25="","N/A",'Vib Analyzer Data'!K25)</f>
        <v>N/A</v>
      </c>
      <c r="E18" s="460"/>
      <c r="F18" s="460"/>
    </row>
    <row r="19" spans="1:6" x14ac:dyDescent="0.3">
      <c r="A19" s="234"/>
      <c r="B19" s="196"/>
      <c r="C19" s="213" t="s">
        <v>122</v>
      </c>
      <c r="D19" s="460" t="str">
        <f>IF('Vib Analyzer Data'!K26="","",LOOKUP('Vib Analyzer Data'!K26,RouteRaw!K3:L4))</f>
        <v/>
      </c>
      <c r="E19" s="460"/>
      <c r="F19" s="460"/>
    </row>
    <row r="20" spans="1:6" x14ac:dyDescent="0.3">
      <c r="A20" s="234"/>
      <c r="B20" s="196"/>
      <c r="C20" s="213" t="s">
        <v>121</v>
      </c>
      <c r="D20" s="460" t="str">
        <f>IF('Vib Analyzer Data'!K29="","",LOOKUP('Vib Analyzer Data'!K29,RouteRaw!N3:O12))</f>
        <v/>
      </c>
      <c r="E20" s="460"/>
      <c r="F20" s="460"/>
    </row>
    <row r="21" spans="1:6" x14ac:dyDescent="0.3">
      <c r="A21" s="234"/>
      <c r="B21" s="196"/>
      <c r="C21" s="213" t="s">
        <v>140</v>
      </c>
      <c r="D21" s="463">
        <f>MAX('Vib Analyzer Data'!G26:G40,ABS(MIN(('Vib Analyzer Data'!G26:G40))))</f>
        <v>0</v>
      </c>
      <c r="E21" s="463"/>
      <c r="F21" s="463"/>
    </row>
    <row r="22" spans="1:6" x14ac:dyDescent="0.3">
      <c r="A22" s="489" t="s">
        <v>94</v>
      </c>
      <c r="B22" s="489"/>
      <c r="C22" s="489"/>
      <c r="D22" s="489"/>
      <c r="E22" s="489"/>
      <c r="F22" s="234"/>
    </row>
    <row r="23" spans="1:6" x14ac:dyDescent="0.3">
      <c r="A23" s="234"/>
      <c r="B23" s="196"/>
      <c r="C23" s="213" t="s">
        <v>119</v>
      </c>
      <c r="D23" s="460" t="str">
        <f>IF('Vib Analyzer Data'!K28="","N/A",'Vib Analyzer Data'!K28)</f>
        <v>N/A</v>
      </c>
      <c r="E23" s="460"/>
      <c r="F23" s="460"/>
    </row>
    <row r="24" spans="1:6" x14ac:dyDescent="0.3">
      <c r="A24" s="234"/>
      <c r="B24" s="196"/>
      <c r="C24" s="213" t="s">
        <v>121</v>
      </c>
      <c r="D24" s="460" t="str">
        <f>IF('Vib Analyzer Data'!K29="","",LOOKUP('Vib Analyzer Data'!K29,RouteRaw!N3:O12))</f>
        <v/>
      </c>
      <c r="E24" s="460"/>
      <c r="F24" s="460"/>
    </row>
    <row r="25" spans="1:6" x14ac:dyDescent="0.3">
      <c r="A25" s="234"/>
      <c r="B25" s="196"/>
      <c r="C25" s="213" t="s">
        <v>122</v>
      </c>
      <c r="D25" s="460" t="str">
        <f>IF('Vib Analyzer Data'!K26="","",LOOKUP('Vib Analyzer Data'!K26,RouteRaw!K3:L4))</f>
        <v/>
      </c>
      <c r="E25" s="460"/>
      <c r="F25" s="460"/>
    </row>
    <row r="26" spans="1:6" x14ac:dyDescent="0.3">
      <c r="D26" s="460" t="str">
        <f>IF('Vib Analyzer Data'!K27="","",LOOKUP('Vib Analyzer Data'!K27,RouteRaw!K4:L5))</f>
        <v/>
      </c>
      <c r="E26" s="460"/>
      <c r="F26" s="460"/>
    </row>
  </sheetData>
  <mergeCells count="9">
    <mergeCell ref="D26:F26"/>
    <mergeCell ref="D24:F24"/>
    <mergeCell ref="D25:F25"/>
    <mergeCell ref="D18:F18"/>
    <mergeCell ref="D19:F19"/>
    <mergeCell ref="D20:F20"/>
    <mergeCell ref="A22:E22"/>
    <mergeCell ref="D23:F23"/>
    <mergeCell ref="D21:F2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AG34"/>
  <sheetViews>
    <sheetView topLeftCell="E1" zoomScale="90" zoomScaleNormal="90" workbookViewId="0">
      <selection activeCell="L30" sqref="L30"/>
    </sheetView>
  </sheetViews>
  <sheetFormatPr defaultColWidth="9.109375" defaultRowHeight="13.2" x14ac:dyDescent="0.25"/>
  <cols>
    <col min="1" max="1" width="25.44140625" style="1" customWidth="1"/>
    <col min="2" max="2" width="9.5546875" style="1" bestFit="1" customWidth="1"/>
    <col min="3" max="3" width="9.109375" style="1"/>
    <col min="4" max="4" width="11.109375" style="1" customWidth="1"/>
    <col min="5" max="5" width="10.88671875" style="1" bestFit="1" customWidth="1"/>
    <col min="6" max="6" width="13.109375" style="1" customWidth="1"/>
    <col min="7" max="9" width="9.109375" style="1"/>
    <col min="10" max="10" width="18" style="1" bestFit="1" customWidth="1"/>
    <col min="11" max="15" width="9.109375" style="1"/>
    <col min="16" max="16" width="16.88671875" style="1" bestFit="1" customWidth="1"/>
    <col min="17" max="16384" width="9.109375" style="1"/>
  </cols>
  <sheetData>
    <row r="1" spans="1:33" ht="14.4" x14ac:dyDescent="0.3">
      <c r="A1" s="490" t="s">
        <v>7</v>
      </c>
      <c r="B1" s="425"/>
      <c r="C1" s="425"/>
      <c r="D1" s="425"/>
      <c r="E1" s="425"/>
      <c r="F1" s="425"/>
      <c r="G1" s="425"/>
      <c r="H1" s="425"/>
      <c r="J1" s="118"/>
      <c r="K1" s="118" t="s">
        <v>26</v>
      </c>
      <c r="L1" s="118"/>
      <c r="M1" s="118" t="s">
        <v>27</v>
      </c>
      <c r="N1" s="118" t="s">
        <v>16</v>
      </c>
      <c r="V1" t="s">
        <v>65</v>
      </c>
      <c r="W1" t="s">
        <v>54</v>
      </c>
      <c r="X1" t="s">
        <v>55</v>
      </c>
      <c r="Y1" t="s">
        <v>57</v>
      </c>
      <c r="Z1" t="s">
        <v>86</v>
      </c>
      <c r="AA1" s="163" t="s">
        <v>54</v>
      </c>
      <c r="AB1" s="163" t="s">
        <v>24</v>
      </c>
      <c r="AC1" t="str">
        <f>LINData!H13</f>
        <v>g pk</v>
      </c>
      <c r="AD1" t="str">
        <f>LOOKUP('Linfit Worksheet'!AC1,VibeUnits,SensUnits)</f>
        <v>g</v>
      </c>
      <c r="AE1" s="1" t="s">
        <v>144</v>
      </c>
      <c r="AF1" s="1" t="s">
        <v>146</v>
      </c>
    </row>
    <row r="2" spans="1:33" ht="14.4" x14ac:dyDescent="0.3">
      <c r="A2" s="1" t="s">
        <v>22</v>
      </c>
      <c r="C2" s="118" t="s">
        <v>5</v>
      </c>
      <c r="D2" s="119" t="s">
        <v>14</v>
      </c>
      <c r="E2" s="119" t="s">
        <v>15</v>
      </c>
      <c r="F2" s="118" t="s">
        <v>4</v>
      </c>
      <c r="G2" s="118" t="s">
        <v>3</v>
      </c>
      <c r="H2" s="118" t="s">
        <v>2</v>
      </c>
      <c r="J2" s="118" t="s">
        <v>25</v>
      </c>
      <c r="K2" s="118" t="str">
        <f>LINData!H13</f>
        <v>g pk</v>
      </c>
      <c r="L2" s="118" t="str">
        <f>LINData!I13</f>
        <v>mV</v>
      </c>
      <c r="M2" s="119" t="str">
        <f>L2</f>
        <v>mV</v>
      </c>
      <c r="N2" s="119" t="s">
        <v>10</v>
      </c>
      <c r="V2" t="s">
        <v>79</v>
      </c>
      <c r="W2" t="s">
        <v>48</v>
      </c>
      <c r="X2" t="s">
        <v>49</v>
      </c>
      <c r="Y2" s="1" t="s">
        <v>84</v>
      </c>
      <c r="Z2" t="s">
        <v>87</v>
      </c>
      <c r="AA2" s="163" t="s">
        <v>48</v>
      </c>
      <c r="AB2" s="163" t="s">
        <v>24</v>
      </c>
      <c r="AC2" t="str">
        <f>LINData!B13</f>
        <v/>
      </c>
      <c r="AD2" t="str">
        <f>IF(AC2="","",LOOKUP('Linfit Worksheet'!AC2,VibeUnits,SensUnits))</f>
        <v/>
      </c>
      <c r="AE2" s="1" t="s">
        <v>147</v>
      </c>
      <c r="AF2" s="1" t="s">
        <v>145</v>
      </c>
    </row>
    <row r="3" spans="1:33" ht="13.2" customHeight="1" x14ac:dyDescent="0.3">
      <c r="A3" s="120"/>
      <c r="B3" s="121"/>
      <c r="C3" s="122">
        <v>0</v>
      </c>
      <c r="D3" s="123"/>
      <c r="E3" s="124">
        <v>0</v>
      </c>
      <c r="F3" s="120"/>
      <c r="G3" s="120"/>
      <c r="H3" s="125">
        <v>0</v>
      </c>
      <c r="J3" s="118" t="s">
        <v>28</v>
      </c>
      <c r="K3" s="118" t="str">
        <f>IF(Q7&lt;&gt;"",Q7,"")</f>
        <v/>
      </c>
      <c r="L3" s="118" t="str">
        <f>IF(R7&lt;&gt;"",R7,"")</f>
        <v/>
      </c>
      <c r="M3" s="118" t="str">
        <f>IF(S7&lt;&gt;"",S7,"")</f>
        <v/>
      </c>
      <c r="N3" s="117" t="str">
        <f>T7</f>
        <v/>
      </c>
      <c r="Q3" s="126" t="str">
        <f>IF(K3&lt;&gt;"",ABS(L3/M3-1),"")</f>
        <v/>
      </c>
      <c r="V3" t="s">
        <v>80</v>
      </c>
      <c r="W3" t="s">
        <v>58</v>
      </c>
      <c r="X3" t="s">
        <v>56</v>
      </c>
      <c r="Y3" t="s">
        <v>60</v>
      </c>
      <c r="Z3" t="s">
        <v>66</v>
      </c>
      <c r="AA3" s="163" t="s">
        <v>55</v>
      </c>
      <c r="AB3" s="163" t="s">
        <v>82</v>
      </c>
      <c r="AD3"/>
    </row>
    <row r="4" spans="1:33" ht="14.4" x14ac:dyDescent="0.3">
      <c r="A4" s="127" t="s">
        <v>1</v>
      </c>
      <c r="B4" s="128" t="e">
        <f>LINEST(D4:D4,C4:C4,TRUE)</f>
        <v>#VALUE!</v>
      </c>
      <c r="C4" s="122" t="str">
        <f>IF(LINData!B14&gt;0,IF(LINData!C14&gt;0,LINData!B14,""),"")</f>
        <v/>
      </c>
      <c r="D4" s="123" t="str">
        <f>IF(LINData!B14&gt;0,IF(LINData!C14&gt;0,LINData!C14,""),"")</f>
        <v/>
      </c>
      <c r="E4" s="129" t="str">
        <f>IF(C4&lt;&gt;"",IF(D4&lt;&gt;"",$B$9*C4+$B$10,""),"")</f>
        <v/>
      </c>
      <c r="F4" s="130" t="str">
        <f>IF(C4&lt;&gt;"",IF(D4&lt;&gt;"",(D4-E4)/$B$5*100,""),"")</f>
        <v/>
      </c>
      <c r="G4" s="125" t="str">
        <f>IF(C4&lt;&gt;"",IF(D4&lt;&gt;"",ABS(F4),""),"")</f>
        <v/>
      </c>
      <c r="H4" s="125" t="str">
        <f>IF(C4&lt;&gt;"",IF(D4&lt;&gt;"",0,""),"")</f>
        <v/>
      </c>
      <c r="J4" s="119" t="e">
        <f>INDEX(LINEST(LINData!I14:I15,LINData!H14:H15,TRUE),1,1)</f>
        <v>#VALUE!</v>
      </c>
      <c r="K4" s="118" t="str">
        <f t="shared" ref="K4:M4" si="0">IF(Q8&lt;&gt;"",Q8,"")</f>
        <v/>
      </c>
      <c r="L4" s="118" t="str">
        <f t="shared" si="0"/>
        <v/>
      </c>
      <c r="M4" s="118" t="str">
        <f t="shared" si="0"/>
        <v/>
      </c>
      <c r="N4" s="117" t="str">
        <f>T8</f>
        <v/>
      </c>
      <c r="P4" s="126"/>
      <c r="Q4" s="126"/>
      <c r="V4"/>
      <c r="W4" t="s">
        <v>59</v>
      </c>
      <c r="X4" t="s">
        <v>50</v>
      </c>
      <c r="Y4" t="s">
        <v>85</v>
      </c>
      <c r="Z4" t="s">
        <v>88</v>
      </c>
      <c r="AA4" s="163" t="s">
        <v>49</v>
      </c>
      <c r="AB4" s="163" t="s">
        <v>82</v>
      </c>
      <c r="AD4"/>
    </row>
    <row r="5" spans="1:33" ht="14.4" x14ac:dyDescent="0.3">
      <c r="A5" s="127" t="s">
        <v>17</v>
      </c>
      <c r="B5" s="128"/>
      <c r="C5" s="122" t="str">
        <f>IF(LINData!B15&gt;0,IF(LINData!C15&gt;0,LINData!B15,""),"")</f>
        <v/>
      </c>
      <c r="D5" s="123" t="str">
        <f>IF(LINData!B15&gt;0,IF(LINData!C15&gt;0,LINData!C15,""),"")</f>
        <v/>
      </c>
      <c r="E5" s="129" t="str">
        <f t="shared" ref="E5:E33" si="1">IF(C5&lt;&gt;"",IF(D5&lt;&gt;"",$B$9*C5+$B$10,""),"")</f>
        <v/>
      </c>
      <c r="F5" s="130" t="str">
        <f t="shared" ref="F5:F33" si="2">IF(C5&lt;&gt;"",IF(D5&lt;&gt;"",(D5-E5)/$B$5*100,""),"")</f>
        <v/>
      </c>
      <c r="G5" s="125" t="str">
        <f t="shared" ref="G5:G33" si="3">IF(C5&lt;&gt;"",IF(D5&lt;&gt;"",ABS(F5),""),"")</f>
        <v/>
      </c>
      <c r="H5" s="125" t="str">
        <f t="shared" ref="H5:H33" si="4">IF(C5&lt;&gt;"",IF(D5&lt;&gt;"",0,""),"")</f>
        <v/>
      </c>
      <c r="J5" s="131" t="s">
        <v>29</v>
      </c>
      <c r="K5" s="118" t="str">
        <f t="shared" ref="K5:M5" si="5">IF(Q9&lt;&gt;"",Q9,"")</f>
        <v/>
      </c>
      <c r="L5" s="118" t="str">
        <f t="shared" si="5"/>
        <v/>
      </c>
      <c r="M5" s="118" t="str">
        <f t="shared" si="5"/>
        <v/>
      </c>
      <c r="N5" s="117" t="str">
        <f t="shared" ref="N5:N27" si="6">T9</f>
        <v/>
      </c>
      <c r="P5" s="132"/>
      <c r="Q5" s="118" t="s">
        <v>26</v>
      </c>
      <c r="R5" s="118"/>
      <c r="S5" s="118" t="s">
        <v>27</v>
      </c>
      <c r="T5" s="118" t="s">
        <v>16</v>
      </c>
      <c r="V5"/>
      <c r="W5"/>
      <c r="X5"/>
      <c r="Y5"/>
      <c r="Z5"/>
      <c r="AA5" s="163" t="s">
        <v>58</v>
      </c>
      <c r="AB5" s="163" t="s">
        <v>81</v>
      </c>
      <c r="AD5"/>
    </row>
    <row r="6" spans="1:33" ht="14.4" x14ac:dyDescent="0.3">
      <c r="A6" s="127" t="s">
        <v>0</v>
      </c>
      <c r="B6" s="133">
        <f>MAX(G4:G13)</f>
        <v>0</v>
      </c>
      <c r="C6" s="122" t="str">
        <f>IF(LINData!B16&gt;0,IF(LINData!C16&gt;0,LINData!B16,""),"")</f>
        <v/>
      </c>
      <c r="D6" s="123" t="str">
        <f>IF(LINData!B16&gt;0,IF(LINData!C16&gt;0,LINData!C16,""),"")</f>
        <v/>
      </c>
      <c r="E6" s="129" t="str">
        <f t="shared" si="1"/>
        <v/>
      </c>
      <c r="F6" s="130" t="str">
        <f t="shared" si="2"/>
        <v/>
      </c>
      <c r="G6" s="125" t="str">
        <f t="shared" si="3"/>
        <v/>
      </c>
      <c r="H6" s="125" t="str">
        <f t="shared" si="4"/>
        <v/>
      </c>
      <c r="J6" s="119" t="e">
        <f>INDEX(LINEST(LINData!I14:I15,LINData!H14:H15,TRUE),1,2)</f>
        <v>#VALUE!</v>
      </c>
      <c r="K6" s="118" t="str">
        <f t="shared" ref="K6:M10" si="7">IF(Q10&lt;&gt;"",Q10,"")</f>
        <v/>
      </c>
      <c r="L6" s="118" t="str">
        <f t="shared" si="7"/>
        <v/>
      </c>
      <c r="M6" s="118" t="str">
        <f t="shared" si="7"/>
        <v/>
      </c>
      <c r="N6" s="117" t="str">
        <f t="shared" si="6"/>
        <v/>
      </c>
      <c r="P6" s="134" t="s">
        <v>39</v>
      </c>
      <c r="Q6" s="134" t="str">
        <f>LINData!H13</f>
        <v>g pk</v>
      </c>
      <c r="R6" s="134" t="str">
        <f>LINData!I13</f>
        <v>mV</v>
      </c>
      <c r="S6" s="135" t="str">
        <f>L2</f>
        <v>mV</v>
      </c>
      <c r="T6" s="136" t="s">
        <v>10</v>
      </c>
      <c r="V6"/>
      <c r="W6"/>
      <c r="X6"/>
      <c r="Y6"/>
      <c r="Z6"/>
      <c r="AA6" s="163" t="s">
        <v>59</v>
      </c>
      <c r="AB6" s="163" t="s">
        <v>81</v>
      </c>
      <c r="AD6"/>
    </row>
    <row r="7" spans="1:33" ht="14.4" x14ac:dyDescent="0.3">
      <c r="A7" s="127" t="str">
        <f>"Sensitivity ("&amp;LINData!B11&amp;")"</f>
        <v>Sensitivity ()</v>
      </c>
      <c r="B7" s="128" t="e">
        <f>$B$4</f>
        <v>#VALUE!</v>
      </c>
      <c r="C7" s="122" t="str">
        <f>IF(LINData!B17&gt;0,IF(LINData!C17&gt;0,LINData!B17,""),"")</f>
        <v/>
      </c>
      <c r="D7" s="123" t="str">
        <f>IF(LINData!B17&gt;0,IF(LINData!C17&gt;0,LINData!C17,""),"")</f>
        <v/>
      </c>
      <c r="E7" s="129" t="str">
        <f t="shared" si="1"/>
        <v/>
      </c>
      <c r="F7" s="130" t="str">
        <f t="shared" si="2"/>
        <v/>
      </c>
      <c r="G7" s="125" t="str">
        <f t="shared" si="3"/>
        <v/>
      </c>
      <c r="H7" s="125" t="str">
        <f t="shared" si="4"/>
        <v/>
      </c>
      <c r="J7" s="131" t="s">
        <v>30</v>
      </c>
      <c r="K7" s="118" t="str">
        <f t="shared" ref="K7:M22" si="8">IF(Q11&lt;&gt;"",Q11,"")</f>
        <v/>
      </c>
      <c r="L7" s="118" t="str">
        <f t="shared" si="8"/>
        <v/>
      </c>
      <c r="M7" s="118" t="str">
        <f t="shared" si="8"/>
        <v/>
      </c>
      <c r="N7" s="117" t="str">
        <f t="shared" si="6"/>
        <v/>
      </c>
      <c r="P7" s="134" t="s">
        <v>38</v>
      </c>
      <c r="Q7" s="118" t="str">
        <f>IF(LINData!H14&lt;&gt;"",LINData!H14,"")</f>
        <v/>
      </c>
      <c r="R7" s="118" t="str">
        <f>IF(LINData!I14&lt;&gt;"",LINData!I14,"")</f>
        <v/>
      </c>
      <c r="S7" s="182" t="str">
        <f>IF(Q7&lt;&gt;"",Q7*$J$4+$J$6,"")</f>
        <v/>
      </c>
      <c r="T7" s="183" t="str">
        <f>IF(Q7&lt;&gt;"",ABS(R7/S7-1),"")</f>
        <v/>
      </c>
      <c r="V7"/>
      <c r="W7"/>
      <c r="Y7"/>
      <c r="Z7"/>
      <c r="AA7" s="163" t="s">
        <v>57</v>
      </c>
      <c r="AB7" s="163" t="s">
        <v>84</v>
      </c>
      <c r="AD7"/>
    </row>
    <row r="8" spans="1:33" ht="14.4" x14ac:dyDescent="0.3">
      <c r="A8" s="127"/>
      <c r="B8" s="128"/>
      <c r="C8" s="122" t="str">
        <f>IF(LINData!B18&gt;0,IF(LINData!C18&gt;0,LINData!B18,""),"")</f>
        <v/>
      </c>
      <c r="D8" s="123" t="str">
        <f>IF(LINData!B18&gt;0,IF(LINData!C18&gt;0,LINData!C18,""),"")</f>
        <v/>
      </c>
      <c r="E8" s="129" t="str">
        <f t="shared" si="1"/>
        <v/>
      </c>
      <c r="F8" s="130" t="str">
        <f t="shared" si="2"/>
        <v/>
      </c>
      <c r="G8" s="125" t="str">
        <f t="shared" si="3"/>
        <v/>
      </c>
      <c r="H8" s="125" t="str">
        <f t="shared" si="4"/>
        <v/>
      </c>
      <c r="J8" s="119">
        <f>MAX(L3:L27)</f>
        <v>0</v>
      </c>
      <c r="K8" s="118" t="str">
        <f t="shared" ref="K8:L8" si="9">IF(Q12&lt;&gt;"",Q12,"")</f>
        <v/>
      </c>
      <c r="L8" s="118" t="str">
        <f t="shared" si="9"/>
        <v/>
      </c>
      <c r="M8" s="118" t="str">
        <f t="shared" si="7"/>
        <v/>
      </c>
      <c r="N8" s="117" t="str">
        <f t="shared" si="6"/>
        <v/>
      </c>
      <c r="P8" s="137">
        <v>1</v>
      </c>
      <c r="Q8" s="118" t="str">
        <f>IF(LINData!H15&lt;&gt;"",LINData!H15,"")</f>
        <v/>
      </c>
      <c r="R8" s="118" t="str">
        <f>IF(LINData!I15&lt;&gt;"",LINData!I15,"")</f>
        <v/>
      </c>
      <c r="S8" s="182" t="str">
        <f t="shared" ref="S8:S32" si="10">IF(Q8&lt;&gt;"",Q8*$J$4+$J$6,"")</f>
        <v/>
      </c>
      <c r="T8" s="183" t="str">
        <f>IF(Q8&lt;&gt;"",ABS(R8/S8-1),"")</f>
        <v/>
      </c>
      <c r="V8"/>
      <c r="W8"/>
      <c r="X8"/>
      <c r="Y8"/>
      <c r="Z8"/>
      <c r="AA8" s="163" t="s">
        <v>56</v>
      </c>
      <c r="AB8" s="163" t="s">
        <v>83</v>
      </c>
      <c r="AD8"/>
    </row>
    <row r="9" spans="1:33" ht="14.4" x14ac:dyDescent="0.3">
      <c r="A9" s="127" t="s">
        <v>1</v>
      </c>
      <c r="B9" s="128" t="e">
        <f>INDEX(LINEST(D4:D4,C4:C4,TRUE),1,1)</f>
        <v>#VALUE!</v>
      </c>
      <c r="C9" s="122" t="str">
        <f>IF(LINData!B19&gt;0,IF(LINData!C19&gt;0,LINData!B19,""),"")</f>
        <v/>
      </c>
      <c r="D9" s="123" t="str">
        <f>IF(LINData!B19&gt;0,IF(LINData!C19&gt;0,LINData!C19,""),"")</f>
        <v/>
      </c>
      <c r="E9" s="129" t="str">
        <f t="shared" si="1"/>
        <v/>
      </c>
      <c r="F9" s="130" t="str">
        <f t="shared" si="2"/>
        <v/>
      </c>
      <c r="G9" s="125" t="str">
        <f t="shared" si="3"/>
        <v/>
      </c>
      <c r="H9" s="125" t="str">
        <f t="shared" si="4"/>
        <v/>
      </c>
      <c r="J9" s="131" t="s">
        <v>31</v>
      </c>
      <c r="K9" s="118" t="str">
        <f t="shared" ref="K9:L9" si="11">IF(Q13&lt;&gt;"",Q13,"")</f>
        <v/>
      </c>
      <c r="L9" s="118" t="str">
        <f t="shared" si="11"/>
        <v/>
      </c>
      <c r="M9" s="118" t="str">
        <f t="shared" si="8"/>
        <v/>
      </c>
      <c r="N9" s="117" t="str">
        <f t="shared" si="6"/>
        <v/>
      </c>
      <c r="P9" s="137">
        <v>2</v>
      </c>
      <c r="Q9" s="118" t="str">
        <f>IF(LINData!H16&lt;&gt;"",LINData!H16,"")</f>
        <v/>
      </c>
      <c r="R9" s="118" t="str">
        <f>IF(LINData!I16&lt;&gt;"",LINData!I16,"")</f>
        <v/>
      </c>
      <c r="S9" s="182" t="str">
        <f t="shared" si="10"/>
        <v/>
      </c>
      <c r="T9" s="183" t="str">
        <f t="shared" ref="T9:T32" si="12">IF(Q9&lt;&gt;"",ABS(R9/S9-1),"")</f>
        <v/>
      </c>
      <c r="V9"/>
      <c r="W9"/>
      <c r="X9"/>
      <c r="Y9"/>
      <c r="Z9"/>
      <c r="AA9" s="163" t="s">
        <v>50</v>
      </c>
      <c r="AB9" s="163" t="s">
        <v>83</v>
      </c>
      <c r="AD9"/>
    </row>
    <row r="10" spans="1:33" ht="14.4" x14ac:dyDescent="0.3">
      <c r="A10" s="127" t="s">
        <v>18</v>
      </c>
      <c r="B10" s="128" t="e">
        <f>INDEX(LINEST(D4:D4,C4:C4,TRUE),1,2)</f>
        <v>#VALUE!</v>
      </c>
      <c r="C10" s="122" t="str">
        <f>IF(LINData!B20&gt;0,IF(LINData!C20&gt;0,LINData!B20,""),"")</f>
        <v/>
      </c>
      <c r="D10" s="123" t="str">
        <f>IF(LINData!B20&gt;0,IF(LINData!C20&gt;0,LINData!C20,""),"")</f>
        <v/>
      </c>
      <c r="E10" s="129" t="str">
        <f t="shared" si="1"/>
        <v/>
      </c>
      <c r="F10" s="130" t="str">
        <f t="shared" si="2"/>
        <v/>
      </c>
      <c r="G10" s="125" t="str">
        <f t="shared" si="3"/>
        <v/>
      </c>
      <c r="H10" s="125" t="str">
        <f t="shared" si="4"/>
        <v/>
      </c>
      <c r="J10" s="119">
        <f>MAX(K3:K27)</f>
        <v>0</v>
      </c>
      <c r="K10" s="118" t="str">
        <f t="shared" ref="K10:L10" si="13">IF(Q14&lt;&gt;"",Q14,"")</f>
        <v/>
      </c>
      <c r="L10" s="118" t="str">
        <f t="shared" si="13"/>
        <v/>
      </c>
      <c r="M10" s="118" t="str">
        <f t="shared" si="7"/>
        <v/>
      </c>
      <c r="N10" s="117" t="str">
        <f t="shared" si="6"/>
        <v/>
      </c>
      <c r="P10" s="137">
        <v>3</v>
      </c>
      <c r="Q10" s="118" t="str">
        <f>IF(LINData!H17&lt;&gt;"",LINData!H17,"")</f>
        <v/>
      </c>
      <c r="R10" s="118" t="str">
        <f>IF(LINData!I17&lt;&gt;"",LINData!I17,"")</f>
        <v/>
      </c>
      <c r="S10" s="182" t="str">
        <f t="shared" si="10"/>
        <v/>
      </c>
      <c r="T10" s="183" t="str">
        <f t="shared" si="12"/>
        <v/>
      </c>
      <c r="V10"/>
      <c r="W10"/>
      <c r="X10"/>
      <c r="Y10"/>
      <c r="Z10"/>
      <c r="AA10" s="163" t="s">
        <v>60</v>
      </c>
      <c r="AB10" s="163" t="s">
        <v>85</v>
      </c>
      <c r="AD10"/>
    </row>
    <row r="11" spans="1:33" ht="14.4" x14ac:dyDescent="0.3">
      <c r="A11" s="127" t="s">
        <v>19</v>
      </c>
      <c r="B11" s="138">
        <f>MAX(C3:C33)</f>
        <v>0</v>
      </c>
      <c r="C11" s="122" t="str">
        <f>IF(LINData!B21&gt;0,IF(LINData!C21&gt;0,LINData!B21,""),"")</f>
        <v/>
      </c>
      <c r="D11" s="123" t="str">
        <f>IF(LINData!B21&gt;0,IF(LINData!C21&gt;0,LINData!C21,""),"")</f>
        <v/>
      </c>
      <c r="E11" s="129" t="str">
        <f t="shared" si="1"/>
        <v/>
      </c>
      <c r="F11" s="130" t="str">
        <f t="shared" si="2"/>
        <v/>
      </c>
      <c r="G11" s="125" t="str">
        <f t="shared" si="3"/>
        <v/>
      </c>
      <c r="H11" s="125" t="str">
        <f t="shared" si="4"/>
        <v/>
      </c>
      <c r="J11" s="131" t="s">
        <v>32</v>
      </c>
      <c r="K11" s="118" t="str">
        <f t="shared" ref="K11:L11" si="14">IF(Q15&lt;&gt;"",Q15,"")</f>
        <v/>
      </c>
      <c r="L11" s="118" t="str">
        <f t="shared" si="14"/>
        <v/>
      </c>
      <c r="M11" s="118" t="str">
        <f t="shared" si="8"/>
        <v/>
      </c>
      <c r="N11" s="117" t="str">
        <f t="shared" si="6"/>
        <v/>
      </c>
      <c r="P11" s="137">
        <v>4</v>
      </c>
      <c r="Q11" s="118" t="str">
        <f>IF(LINData!H18&lt;&gt;"",LINData!H18,"")</f>
        <v/>
      </c>
      <c r="R11" s="118" t="str">
        <f>IF(LINData!I18&lt;&gt;"",LINData!I18,"")</f>
        <v/>
      </c>
      <c r="S11" s="182" t="str">
        <f t="shared" si="10"/>
        <v/>
      </c>
      <c r="T11" s="183" t="str">
        <f t="shared" si="12"/>
        <v/>
      </c>
      <c r="V11"/>
      <c r="X11"/>
      <c r="Y11"/>
      <c r="Z11"/>
      <c r="AD11"/>
    </row>
    <row r="12" spans="1:33" ht="14.4" x14ac:dyDescent="0.3">
      <c r="A12" s="127" t="s">
        <v>20</v>
      </c>
      <c r="B12" s="138">
        <f>MAX(D4:E33)</f>
        <v>0</v>
      </c>
      <c r="C12" s="122" t="str">
        <f>IF(LINData!B22&gt;0,IF(LINData!C22&gt;0,LINData!B22,""),"")</f>
        <v/>
      </c>
      <c r="D12" s="123" t="str">
        <f>IF(LINData!B22&gt;0,IF(LINData!C22&gt;0,LINData!C22,""),"")</f>
        <v/>
      </c>
      <c r="E12" s="129" t="str">
        <f t="shared" si="1"/>
        <v/>
      </c>
      <c r="F12" s="130" t="str">
        <f t="shared" si="2"/>
        <v/>
      </c>
      <c r="G12" s="125" t="str">
        <f t="shared" si="3"/>
        <v/>
      </c>
      <c r="H12" s="125" t="str">
        <f t="shared" si="4"/>
        <v/>
      </c>
      <c r="J12" s="131" t="str">
        <f>IF(Q7&lt;&gt;"",J4,"")</f>
        <v/>
      </c>
      <c r="K12" s="118" t="str">
        <f t="shared" ref="K12:L12" si="15">IF(Q16&lt;&gt;"",Q16,"")</f>
        <v/>
      </c>
      <c r="L12" s="118" t="str">
        <f t="shared" si="15"/>
        <v/>
      </c>
      <c r="M12" s="118" t="str">
        <f t="shared" si="8"/>
        <v/>
      </c>
      <c r="N12" s="117" t="str">
        <f t="shared" si="6"/>
        <v/>
      </c>
      <c r="P12" s="137">
        <v>5</v>
      </c>
      <c r="Q12" s="118" t="str">
        <f>IF(LINData!H19&lt;&gt;"",LINData!H19,"")</f>
        <v/>
      </c>
      <c r="R12" s="118" t="str">
        <f>IF(LINData!I19&lt;&gt;"",LINData!I19,"")</f>
        <v/>
      </c>
      <c r="S12" s="182" t="str">
        <f t="shared" si="10"/>
        <v/>
      </c>
      <c r="T12" s="183" t="str">
        <f t="shared" si="12"/>
        <v/>
      </c>
      <c r="V12"/>
      <c r="X12"/>
      <c r="Y12"/>
      <c r="Z12"/>
      <c r="AD12" t="b">
        <v>0</v>
      </c>
    </row>
    <row r="13" spans="1:33" x14ac:dyDescent="0.25">
      <c r="A13" s="127" t="s">
        <v>21</v>
      </c>
      <c r="B13" s="138">
        <f>MIN(C4:C33)</f>
        <v>0</v>
      </c>
      <c r="C13" s="122" t="str">
        <f>IF(LINData!B23&gt;0,IF(LINData!C23&gt;0,LINData!B23,""),"")</f>
        <v/>
      </c>
      <c r="D13" s="123" t="str">
        <f>IF(LINData!B23&gt;0,IF(LINData!C23&gt;0,LINData!C23,""),"")</f>
        <v/>
      </c>
      <c r="E13" s="129" t="str">
        <f t="shared" si="1"/>
        <v/>
      </c>
      <c r="F13" s="130" t="str">
        <f t="shared" si="2"/>
        <v/>
      </c>
      <c r="G13" s="125" t="str">
        <f t="shared" si="3"/>
        <v/>
      </c>
      <c r="H13" s="125" t="str">
        <f t="shared" si="4"/>
        <v/>
      </c>
      <c r="J13" s="141"/>
      <c r="K13" s="118" t="str">
        <f t="shared" ref="K13:L13" si="16">IF(Q17&lt;&gt;"",Q17,"")</f>
        <v/>
      </c>
      <c r="L13" s="118" t="str">
        <f t="shared" si="16"/>
        <v/>
      </c>
      <c r="M13" s="118" t="str">
        <f t="shared" si="8"/>
        <v/>
      </c>
      <c r="N13" s="117" t="str">
        <f t="shared" si="6"/>
        <v/>
      </c>
      <c r="P13" s="137">
        <v>6</v>
      </c>
      <c r="Q13" s="118" t="str">
        <f>IF(LINData!H20&lt;&gt;"",LINData!H20,"")</f>
        <v/>
      </c>
      <c r="R13" s="118" t="str">
        <f>IF(LINData!I20&lt;&gt;"",LINData!I20,"")</f>
        <v/>
      </c>
      <c r="S13" s="182" t="str">
        <f t="shared" si="10"/>
        <v/>
      </c>
      <c r="T13" s="183" t="str">
        <f t="shared" si="12"/>
        <v/>
      </c>
    </row>
    <row r="14" spans="1:33" ht="14.4" x14ac:dyDescent="0.3">
      <c r="A14" s="139"/>
      <c r="B14" s="140"/>
      <c r="C14" s="122" t="str">
        <f>IF(LINData!B24&gt;0,IF(LINData!C24&gt;0,LINData!B24,""),"")</f>
        <v/>
      </c>
      <c r="D14" s="123" t="str">
        <f>IF(LINData!B24&gt;0,IF(LINData!C24&gt;0,LINData!C24,""),"")</f>
        <v/>
      </c>
      <c r="E14" s="129" t="str">
        <f t="shared" si="1"/>
        <v/>
      </c>
      <c r="F14" s="130" t="str">
        <f t="shared" si="2"/>
        <v/>
      </c>
      <c r="G14" s="125" t="str">
        <f t="shared" si="3"/>
        <v/>
      </c>
      <c r="H14" s="125" t="str">
        <f t="shared" si="4"/>
        <v/>
      </c>
      <c r="J14" s="142"/>
      <c r="K14" s="118" t="str">
        <f t="shared" ref="K14:L14" si="17">IF(Q18&lt;&gt;"",Q18,"")</f>
        <v/>
      </c>
      <c r="L14" s="118" t="str">
        <f t="shared" si="17"/>
        <v/>
      </c>
      <c r="M14" s="118" t="str">
        <f t="shared" si="8"/>
        <v/>
      </c>
      <c r="N14" s="117" t="str">
        <f t="shared" si="6"/>
        <v/>
      </c>
      <c r="P14" s="137">
        <v>7</v>
      </c>
      <c r="Q14" s="118" t="str">
        <f>IF(LINData!H21&lt;&gt;"",LINData!H21,"")</f>
        <v/>
      </c>
      <c r="R14" s="118" t="str">
        <f>IF(LINData!I21&lt;&gt;"",LINData!I21,"")</f>
        <v/>
      </c>
      <c r="S14" s="182" t="str">
        <f t="shared" si="10"/>
        <v/>
      </c>
      <c r="T14" s="183" t="str">
        <f t="shared" si="12"/>
        <v/>
      </c>
      <c r="AA14" s="163"/>
      <c r="AB14" s="163"/>
    </row>
    <row r="15" spans="1:33" ht="14.4" x14ac:dyDescent="0.3">
      <c r="A15" s="139"/>
      <c r="B15" s="140"/>
      <c r="C15" s="122" t="str">
        <f>IF(LINData!B25&gt;0,IF(LINData!C25&gt;0,LINData!B25,""),"")</f>
        <v/>
      </c>
      <c r="D15" s="123" t="str">
        <f>IF(LINData!B25&gt;0,IF(LINData!C25&gt;0,LINData!C25,""),"")</f>
        <v/>
      </c>
      <c r="E15" s="129" t="str">
        <f t="shared" si="1"/>
        <v/>
      </c>
      <c r="F15" s="130" t="str">
        <f t="shared" si="2"/>
        <v/>
      </c>
      <c r="G15" s="125" t="str">
        <f t="shared" si="3"/>
        <v/>
      </c>
      <c r="H15" s="125" t="str">
        <f t="shared" si="4"/>
        <v/>
      </c>
      <c r="J15" s="142"/>
      <c r="K15" s="118" t="str">
        <f t="shared" ref="K15:L15" si="18">IF(Q19&lt;&gt;"",Q19,"")</f>
        <v/>
      </c>
      <c r="L15" s="118" t="str">
        <f t="shared" si="18"/>
        <v/>
      </c>
      <c r="M15" s="118" t="str">
        <f t="shared" si="8"/>
        <v/>
      </c>
      <c r="N15" s="117" t="str">
        <f t="shared" si="6"/>
        <v/>
      </c>
      <c r="P15" s="137">
        <v>8</v>
      </c>
      <c r="Q15" s="118" t="str">
        <f>IF(LINData!H22&lt;&gt;"",LINData!H22,"")</f>
        <v/>
      </c>
      <c r="R15" s="118" t="str">
        <f>IF(LINData!I22&lt;&gt;"",LINData!I22,"")</f>
        <v/>
      </c>
      <c r="S15" s="182" t="str">
        <f t="shared" si="10"/>
        <v/>
      </c>
      <c r="T15" s="183" t="str">
        <f t="shared" si="12"/>
        <v/>
      </c>
      <c r="AA15" s="163"/>
      <c r="AB15" s="163"/>
    </row>
    <row r="16" spans="1:33" ht="14.4" x14ac:dyDescent="0.3">
      <c r="A16" s="139"/>
      <c r="B16" s="140"/>
      <c r="C16" s="122" t="str">
        <f>IF(LINData!B26&gt;0,IF(LINData!C26&gt;0,LINData!B26,""),"")</f>
        <v/>
      </c>
      <c r="D16" s="123" t="str">
        <f>IF(LINData!B26&gt;0,IF(LINData!C26&gt;0,LINData!C26,""),"")</f>
        <v/>
      </c>
      <c r="E16" s="129" t="str">
        <f t="shared" si="1"/>
        <v/>
      </c>
      <c r="F16" s="130" t="str">
        <f t="shared" si="2"/>
        <v/>
      </c>
      <c r="G16" s="125" t="str">
        <f t="shared" si="3"/>
        <v/>
      </c>
      <c r="H16" s="125" t="str">
        <f t="shared" si="4"/>
        <v/>
      </c>
      <c r="J16" s="142"/>
      <c r="K16" s="118" t="str">
        <f t="shared" ref="K16:L16" si="19">IF(Q20&lt;&gt;"",Q20,"")</f>
        <v/>
      </c>
      <c r="L16" s="118" t="str">
        <f t="shared" si="19"/>
        <v/>
      </c>
      <c r="M16" s="118" t="str">
        <f t="shared" si="8"/>
        <v/>
      </c>
      <c r="N16" s="117" t="str">
        <f t="shared" si="6"/>
        <v/>
      </c>
      <c r="P16" s="137">
        <v>9</v>
      </c>
      <c r="Q16" s="118" t="str">
        <f>IF(LINData!H23&lt;&gt;"",LINData!H23,"")</f>
        <v/>
      </c>
      <c r="R16" s="118" t="str">
        <f>IF(LINData!I23&lt;&gt;"",LINData!I23,"")</f>
        <v/>
      </c>
      <c r="S16" s="182" t="str">
        <f t="shared" si="10"/>
        <v/>
      </c>
      <c r="T16" s="183" t="str">
        <f t="shared" si="12"/>
        <v/>
      </c>
      <c r="V16" s="163"/>
      <c r="W16" s="163"/>
      <c r="X16" s="163"/>
      <c r="Y16" s="163"/>
      <c r="Z16" s="163"/>
      <c r="AC16" s="163"/>
      <c r="AD16" s="163"/>
      <c r="AE16" s="186"/>
      <c r="AF16" s="163"/>
      <c r="AG16" s="163"/>
    </row>
    <row r="17" spans="1:33" ht="14.4" x14ac:dyDescent="0.3">
      <c r="A17" s="139"/>
      <c r="B17" s="140"/>
      <c r="C17" s="122" t="str">
        <f>IF(LINData!B27&gt;0,IF(LINData!C27&gt;0,LINData!B27,""),"")</f>
        <v/>
      </c>
      <c r="D17" s="123" t="str">
        <f>IF(LINData!B27&gt;0,IF(LINData!C27&gt;0,LINData!C27,""),"")</f>
        <v/>
      </c>
      <c r="E17" s="129" t="str">
        <f t="shared" si="1"/>
        <v/>
      </c>
      <c r="F17" s="130" t="str">
        <f t="shared" si="2"/>
        <v/>
      </c>
      <c r="G17" s="125" t="str">
        <f t="shared" si="3"/>
        <v/>
      </c>
      <c r="H17" s="125" t="str">
        <f t="shared" si="4"/>
        <v/>
      </c>
      <c r="J17" s="142"/>
      <c r="K17" s="118" t="str">
        <f t="shared" ref="K17:L17" si="20">IF(Q21&lt;&gt;"",Q21,"")</f>
        <v/>
      </c>
      <c r="L17" s="118" t="str">
        <f t="shared" si="20"/>
        <v/>
      </c>
      <c r="M17" s="118" t="str">
        <f t="shared" si="8"/>
        <v/>
      </c>
      <c r="N17" s="117" t="str">
        <f t="shared" si="6"/>
        <v/>
      </c>
      <c r="P17" s="137">
        <v>10</v>
      </c>
      <c r="Q17" s="118" t="str">
        <f>IF(LINData!H24&lt;&gt;"",LINData!H24,"")</f>
        <v/>
      </c>
      <c r="R17" s="118" t="str">
        <f>IF(LINData!I24&lt;&gt;"",LINData!I24,"")</f>
        <v/>
      </c>
      <c r="S17" s="182" t="str">
        <f t="shared" si="10"/>
        <v/>
      </c>
      <c r="T17" s="183" t="str">
        <f t="shared" si="12"/>
        <v/>
      </c>
      <c r="V17" s="163"/>
      <c r="W17" s="163"/>
      <c r="X17" s="163"/>
      <c r="Y17" s="163"/>
      <c r="Z17" s="163"/>
      <c r="AC17" s="163"/>
      <c r="AD17" s="163"/>
      <c r="AE17" s="163"/>
      <c r="AF17" s="163"/>
      <c r="AG17" s="163"/>
    </row>
    <row r="18" spans="1:33" x14ac:dyDescent="0.25">
      <c r="A18" s="139"/>
      <c r="B18" s="140"/>
      <c r="C18" s="122" t="str">
        <f>IF(LINData!B28&gt;0,IF(LINData!C28&gt;0,LINData!B28,""),"")</f>
        <v/>
      </c>
      <c r="D18" s="123" t="str">
        <f>IF(LINData!B28&gt;0,IF(LINData!C28&gt;0,LINData!C28,""),"")</f>
        <v/>
      </c>
      <c r="E18" s="129" t="str">
        <f t="shared" si="1"/>
        <v/>
      </c>
      <c r="F18" s="130" t="str">
        <f t="shared" si="2"/>
        <v/>
      </c>
      <c r="G18" s="125" t="str">
        <f t="shared" si="3"/>
        <v/>
      </c>
      <c r="H18" s="125" t="str">
        <f t="shared" si="4"/>
        <v/>
      </c>
      <c r="J18" s="142"/>
      <c r="K18" s="118" t="str">
        <f t="shared" ref="K18:L18" si="21">IF(Q22&lt;&gt;"",Q22,"")</f>
        <v/>
      </c>
      <c r="L18" s="118" t="str">
        <f t="shared" si="21"/>
        <v/>
      </c>
      <c r="M18" s="118" t="str">
        <f t="shared" si="8"/>
        <v/>
      </c>
      <c r="N18" s="117" t="str">
        <f t="shared" si="6"/>
        <v/>
      </c>
      <c r="P18" s="137">
        <v>11</v>
      </c>
      <c r="Q18" s="118" t="str">
        <f>IF(LINData!H25&lt;&gt;"",LINData!H25,"")</f>
        <v/>
      </c>
      <c r="R18" s="118" t="str">
        <f>IF(LINData!I25&lt;&gt;"",LINData!I25,"")</f>
        <v/>
      </c>
      <c r="S18" s="182" t="str">
        <f t="shared" si="10"/>
        <v/>
      </c>
      <c r="T18" s="183" t="str">
        <f t="shared" si="12"/>
        <v/>
      </c>
    </row>
    <row r="19" spans="1:33" x14ac:dyDescent="0.25">
      <c r="A19" s="139"/>
      <c r="B19" s="140"/>
      <c r="C19" s="122" t="str">
        <f>IF(LINData!B29&gt;0,IF(LINData!C29&gt;0,LINData!B29,""),"")</f>
        <v/>
      </c>
      <c r="D19" s="123" t="str">
        <f>IF(LINData!B29&gt;0,IF(LINData!C29&gt;0,LINData!C29,""),"")</f>
        <v/>
      </c>
      <c r="E19" s="129" t="str">
        <f t="shared" si="1"/>
        <v/>
      </c>
      <c r="F19" s="130" t="str">
        <f t="shared" si="2"/>
        <v/>
      </c>
      <c r="G19" s="125" t="str">
        <f t="shared" si="3"/>
        <v/>
      </c>
      <c r="H19" s="125" t="str">
        <f t="shared" si="4"/>
        <v/>
      </c>
      <c r="J19" s="142"/>
      <c r="K19" s="118" t="str">
        <f t="shared" ref="K19:L19" si="22">IF(Q23&lt;&gt;"",Q23,"")</f>
        <v/>
      </c>
      <c r="L19" s="118" t="str">
        <f t="shared" si="22"/>
        <v/>
      </c>
      <c r="M19" s="118" t="str">
        <f t="shared" si="8"/>
        <v/>
      </c>
      <c r="N19" s="117" t="str">
        <f t="shared" si="6"/>
        <v/>
      </c>
      <c r="P19" s="137">
        <v>12</v>
      </c>
      <c r="Q19" s="118" t="str">
        <f>IF(LINData!H26&lt;&gt;"",LINData!H26,"")</f>
        <v/>
      </c>
      <c r="R19" s="118" t="str">
        <f>IF(LINData!I26&lt;&gt;"",LINData!I26,"")</f>
        <v/>
      </c>
      <c r="S19" s="182" t="str">
        <f t="shared" si="10"/>
        <v/>
      </c>
      <c r="T19" s="183" t="str">
        <f t="shared" si="12"/>
        <v/>
      </c>
    </row>
    <row r="20" spans="1:33" x14ac:dyDescent="0.25">
      <c r="C20" s="122" t="str">
        <f>IF(LINData!B30&gt;0,IF(LINData!C30&gt;0,LINData!B30,""),"")</f>
        <v/>
      </c>
      <c r="D20" s="123" t="str">
        <f>IF(LINData!B30&gt;0,IF(LINData!C30&gt;0,LINData!C30,""),"")</f>
        <v/>
      </c>
      <c r="E20" s="129" t="str">
        <f t="shared" si="1"/>
        <v/>
      </c>
      <c r="F20" s="130" t="str">
        <f t="shared" si="2"/>
        <v/>
      </c>
      <c r="G20" s="125" t="str">
        <f t="shared" si="3"/>
        <v/>
      </c>
      <c r="H20" s="125" t="str">
        <f t="shared" si="4"/>
        <v/>
      </c>
      <c r="J20" s="143"/>
      <c r="K20" s="118" t="str">
        <f t="shared" ref="K20:L20" si="23">IF(Q24&lt;&gt;"",Q24,"")</f>
        <v/>
      </c>
      <c r="L20" s="118" t="str">
        <f t="shared" si="23"/>
        <v/>
      </c>
      <c r="M20" s="118" t="str">
        <f t="shared" si="8"/>
        <v/>
      </c>
      <c r="N20" s="117" t="str">
        <f t="shared" si="6"/>
        <v/>
      </c>
      <c r="P20" s="137">
        <v>13</v>
      </c>
      <c r="Q20" s="118" t="str">
        <f>IF(LINData!H27&lt;&gt;"",LINData!H27,"")</f>
        <v/>
      </c>
      <c r="R20" s="118" t="str">
        <f>IF(LINData!I27&lt;&gt;"",LINData!I27,"")</f>
        <v/>
      </c>
      <c r="S20" s="182" t="str">
        <f t="shared" si="10"/>
        <v/>
      </c>
      <c r="T20" s="183" t="str">
        <f t="shared" si="12"/>
        <v/>
      </c>
    </row>
    <row r="21" spans="1:33" x14ac:dyDescent="0.25">
      <c r="C21" s="122" t="str">
        <f>IF(LINData!B31&gt;0,IF(LINData!C31&gt;0,LINData!B31,""),"")</f>
        <v/>
      </c>
      <c r="D21" s="123" t="str">
        <f>IF(LINData!B31&gt;0,IF(LINData!C31&gt;0,LINData!C31,""),"")</f>
        <v/>
      </c>
      <c r="E21" s="129" t="str">
        <f t="shared" si="1"/>
        <v/>
      </c>
      <c r="F21" s="130" t="str">
        <f t="shared" si="2"/>
        <v/>
      </c>
      <c r="G21" s="125" t="str">
        <f t="shared" si="3"/>
        <v/>
      </c>
      <c r="H21" s="125" t="str">
        <f t="shared" si="4"/>
        <v/>
      </c>
      <c r="J21" s="143"/>
      <c r="K21" s="118" t="str">
        <f t="shared" ref="K21:L21" si="24">IF(Q25&lt;&gt;"",Q25,"")</f>
        <v/>
      </c>
      <c r="L21" s="118" t="str">
        <f t="shared" si="24"/>
        <v/>
      </c>
      <c r="M21" s="118" t="str">
        <f t="shared" si="8"/>
        <v/>
      </c>
      <c r="N21" s="117" t="str">
        <f t="shared" si="6"/>
        <v/>
      </c>
      <c r="P21" s="137">
        <v>14</v>
      </c>
      <c r="Q21" s="118" t="str">
        <f>IF(LINData!H28&lt;&gt;"",LINData!H28,"")</f>
        <v/>
      </c>
      <c r="R21" s="118" t="str">
        <f>IF(LINData!I28&lt;&gt;"",LINData!I28,"")</f>
        <v/>
      </c>
      <c r="S21" s="182" t="str">
        <f t="shared" si="10"/>
        <v/>
      </c>
      <c r="T21" s="183" t="str">
        <f t="shared" si="12"/>
        <v/>
      </c>
    </row>
    <row r="22" spans="1:33" x14ac:dyDescent="0.25">
      <c r="C22" s="122" t="str">
        <f>IF(LINData!B32&gt;0,IF(LINData!C32&gt;0,LINData!B32,""),"")</f>
        <v/>
      </c>
      <c r="D22" s="123" t="str">
        <f>IF(LINData!B32&gt;0,IF(LINData!C32&gt;0,LINData!C32,""),"")</f>
        <v/>
      </c>
      <c r="E22" s="129" t="str">
        <f t="shared" si="1"/>
        <v/>
      </c>
      <c r="F22" s="130" t="str">
        <f t="shared" si="2"/>
        <v/>
      </c>
      <c r="G22" s="125" t="str">
        <f t="shared" si="3"/>
        <v/>
      </c>
      <c r="H22" s="125" t="str">
        <f t="shared" si="4"/>
        <v/>
      </c>
      <c r="J22" s="143"/>
      <c r="K22" s="118" t="str">
        <f t="shared" ref="K22:L22" si="25">IF(Q26&lt;&gt;"",Q26,"")</f>
        <v/>
      </c>
      <c r="L22" s="118" t="str">
        <f t="shared" si="25"/>
        <v/>
      </c>
      <c r="M22" s="118" t="str">
        <f t="shared" si="8"/>
        <v/>
      </c>
      <c r="N22" s="117" t="str">
        <f t="shared" si="6"/>
        <v/>
      </c>
      <c r="P22" s="137">
        <v>15</v>
      </c>
      <c r="Q22" s="118" t="str">
        <f>IF(LINData!H29&lt;&gt;"",LINData!H29,"")</f>
        <v/>
      </c>
      <c r="R22" s="118" t="str">
        <f>IF(LINData!I29&lt;&gt;"",LINData!I29,"")</f>
        <v/>
      </c>
      <c r="S22" s="182" t="str">
        <f t="shared" si="10"/>
        <v/>
      </c>
      <c r="T22" s="183" t="str">
        <f t="shared" si="12"/>
        <v/>
      </c>
    </row>
    <row r="23" spans="1:33" x14ac:dyDescent="0.25">
      <c r="C23" s="122" t="str">
        <f>IF(LINData!B33&gt;0,IF(LINData!C33&gt;0,LINData!B33,""),"")</f>
        <v/>
      </c>
      <c r="D23" s="123" t="str">
        <f>IF(LINData!B33&gt;0,IF(LINData!C33&gt;0,LINData!C33,""),"")</f>
        <v/>
      </c>
      <c r="E23" s="129" t="str">
        <f t="shared" si="1"/>
        <v/>
      </c>
      <c r="F23" s="130" t="str">
        <f t="shared" si="2"/>
        <v/>
      </c>
      <c r="G23" s="125" t="str">
        <f t="shared" si="3"/>
        <v/>
      </c>
      <c r="H23" s="125" t="str">
        <f t="shared" si="4"/>
        <v/>
      </c>
      <c r="J23" s="143"/>
      <c r="K23" s="118" t="str">
        <f t="shared" ref="K23:M27" si="26">IF(Q27&lt;&gt;"",Q27,"")</f>
        <v/>
      </c>
      <c r="L23" s="118" t="str">
        <f t="shared" si="26"/>
        <v/>
      </c>
      <c r="M23" s="118" t="str">
        <f t="shared" si="26"/>
        <v/>
      </c>
      <c r="N23" s="117" t="str">
        <f t="shared" si="6"/>
        <v/>
      </c>
      <c r="P23" s="137">
        <v>16</v>
      </c>
      <c r="Q23" s="118" t="str">
        <f>IF(LINData!H30&lt;&gt;"",LINData!H30,"")</f>
        <v/>
      </c>
      <c r="R23" s="118" t="str">
        <f>IF(LINData!I30&lt;&gt;"",LINData!I30,"")</f>
        <v/>
      </c>
      <c r="S23" s="182" t="str">
        <f t="shared" si="10"/>
        <v/>
      </c>
      <c r="T23" s="183" t="str">
        <f t="shared" si="12"/>
        <v/>
      </c>
    </row>
    <row r="24" spans="1:33" x14ac:dyDescent="0.25">
      <c r="C24" s="122" t="str">
        <f>IF(LINData!B34&gt;0,IF(LINData!C34&gt;0,LINData!B34,""),"")</f>
        <v/>
      </c>
      <c r="D24" s="123" t="str">
        <f>IF(LINData!B34&gt;0,IF(LINData!C34&gt;0,LINData!C34,""),"")</f>
        <v/>
      </c>
      <c r="E24" s="129" t="str">
        <f t="shared" si="1"/>
        <v/>
      </c>
      <c r="F24" s="130" t="str">
        <f t="shared" si="2"/>
        <v/>
      </c>
      <c r="G24" s="125" t="str">
        <f t="shared" si="3"/>
        <v/>
      </c>
      <c r="H24" s="125" t="str">
        <f t="shared" si="4"/>
        <v/>
      </c>
      <c r="J24" s="143"/>
      <c r="K24" s="118" t="str">
        <f t="shared" ref="K24:L24" si="27">IF(Q28&lt;&gt;"",Q28,"")</f>
        <v/>
      </c>
      <c r="L24" s="118" t="str">
        <f t="shared" si="27"/>
        <v/>
      </c>
      <c r="M24" s="118" t="str">
        <f t="shared" si="26"/>
        <v/>
      </c>
      <c r="N24" s="117" t="str">
        <f t="shared" si="6"/>
        <v/>
      </c>
      <c r="P24" s="137">
        <v>17</v>
      </c>
      <c r="Q24" s="118" t="str">
        <f>IF(LINData!H31&lt;&gt;"",LINData!H31,"")</f>
        <v/>
      </c>
      <c r="R24" s="118" t="str">
        <f>IF(LINData!I31&lt;&gt;"",LINData!I31,"")</f>
        <v/>
      </c>
      <c r="S24" s="182" t="str">
        <f t="shared" si="10"/>
        <v/>
      </c>
      <c r="T24" s="183" t="str">
        <f t="shared" si="12"/>
        <v/>
      </c>
    </row>
    <row r="25" spans="1:33" ht="14.4" x14ac:dyDescent="0.3">
      <c r="A25"/>
      <c r="C25" s="122" t="str">
        <f>IF(LINData!B35&gt;0,IF(LINData!C35&gt;0,LINData!B35,""),"")</f>
        <v/>
      </c>
      <c r="D25" s="123" t="str">
        <f>IF(LINData!B35&gt;0,IF(LINData!C35&gt;0,LINData!C35,""),"")</f>
        <v/>
      </c>
      <c r="E25" s="129" t="str">
        <f t="shared" si="1"/>
        <v/>
      </c>
      <c r="F25" s="130" t="str">
        <f t="shared" si="2"/>
        <v/>
      </c>
      <c r="G25" s="125" t="str">
        <f t="shared" si="3"/>
        <v/>
      </c>
      <c r="H25" s="125" t="str">
        <f t="shared" si="4"/>
        <v/>
      </c>
      <c r="J25" s="143"/>
      <c r="K25" s="118" t="str">
        <f t="shared" ref="K25:L25" si="28">IF(Q29&lt;&gt;"",Q29,"")</f>
        <v/>
      </c>
      <c r="L25" s="118" t="str">
        <f t="shared" si="28"/>
        <v/>
      </c>
      <c r="M25" s="118" t="str">
        <f t="shared" si="26"/>
        <v/>
      </c>
      <c r="N25" s="117" t="str">
        <f t="shared" si="6"/>
        <v/>
      </c>
      <c r="P25" s="137">
        <v>18</v>
      </c>
      <c r="Q25" s="118" t="str">
        <f>IF(LINData!H32&lt;&gt;"",LINData!H32,"")</f>
        <v/>
      </c>
      <c r="R25" s="118" t="str">
        <f>IF(LINData!I32&lt;&gt;"",LINData!I32,"")</f>
        <v/>
      </c>
      <c r="S25" s="182" t="str">
        <f t="shared" si="10"/>
        <v/>
      </c>
      <c r="T25" s="183" t="str">
        <f t="shared" si="12"/>
        <v/>
      </c>
    </row>
    <row r="26" spans="1:33" ht="14.4" x14ac:dyDescent="0.3">
      <c r="A26"/>
      <c r="C26" s="122" t="str">
        <f>IF(LINData!B36&gt;0,IF(LINData!C36&gt;0,LINData!B36,""),"")</f>
        <v/>
      </c>
      <c r="D26" s="123" t="str">
        <f>IF(LINData!B36&gt;0,IF(LINData!C36&gt;0,LINData!C36,""),"")</f>
        <v/>
      </c>
      <c r="E26" s="129" t="str">
        <f t="shared" si="1"/>
        <v/>
      </c>
      <c r="F26" s="130" t="str">
        <f t="shared" si="2"/>
        <v/>
      </c>
      <c r="G26" s="125" t="str">
        <f t="shared" si="3"/>
        <v/>
      </c>
      <c r="H26" s="125" t="str">
        <f t="shared" si="4"/>
        <v/>
      </c>
      <c r="J26" s="143"/>
      <c r="K26" s="118" t="str">
        <f t="shared" ref="K26:L26" si="29">IF(Q30&lt;&gt;"",Q30,"")</f>
        <v/>
      </c>
      <c r="L26" s="118" t="str">
        <f t="shared" si="29"/>
        <v/>
      </c>
      <c r="M26" s="118" t="str">
        <f t="shared" si="26"/>
        <v/>
      </c>
      <c r="N26" s="117" t="str">
        <f t="shared" si="6"/>
        <v/>
      </c>
      <c r="P26" s="137">
        <v>19</v>
      </c>
      <c r="Q26" s="118" t="str">
        <f>IF(LINData!H33&lt;&gt;"",LINData!H33,"")</f>
        <v/>
      </c>
      <c r="R26" s="118" t="str">
        <f>IF(LINData!I33&lt;&gt;"",LINData!I33,"")</f>
        <v/>
      </c>
      <c r="S26" s="182" t="str">
        <f t="shared" si="10"/>
        <v/>
      </c>
      <c r="T26" s="183" t="str">
        <f t="shared" si="12"/>
        <v/>
      </c>
    </row>
    <row r="27" spans="1:33" ht="14.4" x14ac:dyDescent="0.3">
      <c r="A27"/>
      <c r="C27" s="122" t="str">
        <f>IF(LINData!B37&gt;0,IF(LINData!C37&gt;0,LINData!B37,""),"")</f>
        <v/>
      </c>
      <c r="D27" s="123" t="str">
        <f>IF(LINData!B37&gt;0,IF(LINData!C37&gt;0,LINData!C37,""),"")</f>
        <v/>
      </c>
      <c r="E27" s="129" t="str">
        <f t="shared" si="1"/>
        <v/>
      </c>
      <c r="F27" s="130" t="str">
        <f t="shared" si="2"/>
        <v/>
      </c>
      <c r="G27" s="125" t="str">
        <f t="shared" si="3"/>
        <v/>
      </c>
      <c r="H27" s="125" t="str">
        <f t="shared" si="4"/>
        <v/>
      </c>
      <c r="J27" s="143"/>
      <c r="K27" s="118" t="str">
        <f t="shared" ref="K27:L27" si="30">IF(Q31&lt;&gt;"",Q31,"")</f>
        <v/>
      </c>
      <c r="L27" s="118" t="str">
        <f t="shared" si="30"/>
        <v/>
      </c>
      <c r="M27" s="118" t="str">
        <f t="shared" si="26"/>
        <v/>
      </c>
      <c r="N27" s="117" t="str">
        <f t="shared" si="6"/>
        <v/>
      </c>
      <c r="P27" s="137">
        <v>20</v>
      </c>
      <c r="Q27" s="118" t="str">
        <f>IF(LINData!H34&lt;&gt;"",LINData!H34,"")</f>
        <v/>
      </c>
      <c r="R27" s="118" t="str">
        <f>IF(LINData!I34&lt;&gt;"",LINData!I34,"")</f>
        <v/>
      </c>
      <c r="S27" s="182" t="str">
        <f t="shared" si="10"/>
        <v/>
      </c>
      <c r="T27" s="183" t="str">
        <f t="shared" si="12"/>
        <v/>
      </c>
    </row>
    <row r="28" spans="1:33" ht="14.4" x14ac:dyDescent="0.3">
      <c r="A28"/>
      <c r="C28" s="122" t="str">
        <f>IF(LINData!B38&gt;0,IF(LINData!C38&gt;0,LINData!B38,""),"")</f>
        <v/>
      </c>
      <c r="D28" s="123" t="str">
        <f>IF(LINData!B38&gt;0,IF(LINData!C38&gt;0,LINData!C38,""),"")</f>
        <v/>
      </c>
      <c r="E28" s="129" t="str">
        <f t="shared" si="1"/>
        <v/>
      </c>
      <c r="F28" s="130" t="str">
        <f t="shared" si="2"/>
        <v/>
      </c>
      <c r="G28" s="125" t="str">
        <f t="shared" si="3"/>
        <v/>
      </c>
      <c r="H28" s="125" t="str">
        <f t="shared" si="4"/>
        <v/>
      </c>
      <c r="P28" s="137">
        <v>21</v>
      </c>
      <c r="Q28" s="118" t="str">
        <f>IF(LINData!H35&lt;&gt;"",LINData!H35,"")</f>
        <v/>
      </c>
      <c r="R28" s="118" t="str">
        <f>IF(LINData!I35&lt;&gt;"",LINData!I35,"")</f>
        <v/>
      </c>
      <c r="S28" s="182" t="str">
        <f t="shared" si="10"/>
        <v/>
      </c>
      <c r="T28" s="183" t="str">
        <f t="shared" si="12"/>
        <v/>
      </c>
    </row>
    <row r="29" spans="1:33" ht="14.4" x14ac:dyDescent="0.3">
      <c r="A29"/>
      <c r="C29" s="122" t="str">
        <f>IF(LINData!B39&gt;0,IF(LINData!C39&gt;0,LINData!B39,""),"")</f>
        <v/>
      </c>
      <c r="D29" s="123" t="str">
        <f>IF(LINData!B39&gt;0,IF(LINData!C39&gt;0,LINData!C39,""),"")</f>
        <v/>
      </c>
      <c r="E29" s="129" t="str">
        <f t="shared" si="1"/>
        <v/>
      </c>
      <c r="F29" s="130" t="str">
        <f t="shared" si="2"/>
        <v/>
      </c>
      <c r="G29" s="125" t="str">
        <f t="shared" si="3"/>
        <v/>
      </c>
      <c r="H29" s="125" t="str">
        <f t="shared" si="4"/>
        <v/>
      </c>
      <c r="J29" s="427" t="s">
        <v>37</v>
      </c>
      <c r="K29" s="427"/>
      <c r="L29" s="491" t="s">
        <v>161</v>
      </c>
      <c r="M29" s="491"/>
      <c r="P29" s="137">
        <v>22</v>
      </c>
      <c r="Q29" s="118" t="str">
        <f>IF(LINData!H36&lt;&gt;"",LINData!H36,"")</f>
        <v/>
      </c>
      <c r="R29" s="118" t="str">
        <f>IF(LINData!I36&lt;&gt;"",LINData!I36,"")</f>
        <v/>
      </c>
      <c r="S29" s="182" t="str">
        <f t="shared" si="10"/>
        <v/>
      </c>
      <c r="T29" s="183" t="str">
        <f t="shared" si="12"/>
        <v/>
      </c>
    </row>
    <row r="30" spans="1:33" ht="14.4" x14ac:dyDescent="0.3">
      <c r="A30"/>
      <c r="C30" s="122" t="str">
        <f>IF(LINData!B40&gt;0,IF(LINData!C40&gt;0,LINData!B40,""),"")</f>
        <v/>
      </c>
      <c r="D30" s="123" t="str">
        <f>IF(LINData!B40&gt;0,IF(LINData!C40&gt;0,LINData!C40,""),"")</f>
        <v/>
      </c>
      <c r="E30" s="129" t="str">
        <f t="shared" si="1"/>
        <v/>
      </c>
      <c r="F30" s="130" t="str">
        <f t="shared" si="2"/>
        <v/>
      </c>
      <c r="G30" s="125" t="str">
        <f t="shared" si="3"/>
        <v/>
      </c>
      <c r="H30" s="125" t="str">
        <f t="shared" si="4"/>
        <v/>
      </c>
      <c r="P30" s="137">
        <v>23</v>
      </c>
      <c r="Q30" s="118" t="str">
        <f>IF(LINData!H37&lt;&gt;"",LINData!H37,"")</f>
        <v/>
      </c>
      <c r="R30" s="118" t="str">
        <f>IF(LINData!I37&lt;&gt;"",LINData!I37,"")</f>
        <v/>
      </c>
      <c r="S30" s="182" t="str">
        <f t="shared" si="10"/>
        <v/>
      </c>
      <c r="T30" s="183" t="str">
        <f t="shared" si="12"/>
        <v/>
      </c>
    </row>
    <row r="31" spans="1:33" ht="14.4" x14ac:dyDescent="0.3">
      <c r="A31"/>
      <c r="C31" s="122" t="str">
        <f>IF(LINData!B41&gt;0,IF(LINData!C41&gt;0,LINData!B41,""),"")</f>
        <v/>
      </c>
      <c r="D31" s="123" t="str">
        <f>IF(LINData!B41&gt;0,IF(LINData!C41&gt;0,LINData!C41,""),"")</f>
        <v/>
      </c>
      <c r="E31" s="129" t="str">
        <f t="shared" si="1"/>
        <v/>
      </c>
      <c r="F31" s="130" t="str">
        <f t="shared" si="2"/>
        <v/>
      </c>
      <c r="G31" s="125" t="str">
        <f t="shared" si="3"/>
        <v/>
      </c>
      <c r="H31" s="125" t="str">
        <f t="shared" si="4"/>
        <v/>
      </c>
      <c r="P31" s="137">
        <v>24</v>
      </c>
      <c r="Q31" s="118" t="str">
        <f>IF(LINData!H38&lt;&gt;"",LINData!H38,"")</f>
        <v/>
      </c>
      <c r="R31" s="118" t="str">
        <f>IF(LINData!I38&lt;&gt;"",LINData!I38,"")</f>
        <v/>
      </c>
      <c r="S31" s="182" t="str">
        <f t="shared" si="10"/>
        <v/>
      </c>
      <c r="T31" s="183" t="str">
        <f t="shared" si="12"/>
        <v/>
      </c>
    </row>
    <row r="32" spans="1:33" ht="14.4" x14ac:dyDescent="0.3">
      <c r="A32"/>
      <c r="C32" s="122" t="str">
        <f>IF(LINData!B42&gt;0,IF(LINData!C42&gt;0,LINData!B42,""),"")</f>
        <v/>
      </c>
      <c r="D32" s="123" t="str">
        <f>IF(LINData!B42&gt;0,IF(LINData!C42&gt;0,LINData!C42,""),"")</f>
        <v/>
      </c>
      <c r="E32" s="129" t="str">
        <f t="shared" si="1"/>
        <v/>
      </c>
      <c r="F32" s="130" t="str">
        <f t="shared" si="2"/>
        <v/>
      </c>
      <c r="G32" s="125" t="str">
        <f t="shared" si="3"/>
        <v/>
      </c>
      <c r="H32" s="125" t="str">
        <f t="shared" si="4"/>
        <v/>
      </c>
      <c r="P32" s="137">
        <v>25</v>
      </c>
      <c r="Q32" s="118" t="str">
        <f>IF(LINData!H39&lt;&gt;"",LINData!H39,"")</f>
        <v/>
      </c>
      <c r="R32" s="118" t="str">
        <f>IF(LINData!I39&lt;&gt;"",LINData!I39,"")</f>
        <v/>
      </c>
      <c r="S32" s="182" t="str">
        <f t="shared" si="10"/>
        <v/>
      </c>
      <c r="T32" s="183" t="str">
        <f t="shared" si="12"/>
        <v/>
      </c>
    </row>
    <row r="33" spans="1:8" ht="14.4" x14ac:dyDescent="0.3">
      <c r="A33"/>
      <c r="C33" s="122" t="str">
        <f>IF(LINData!B43&gt;0,IF(LINData!C43&gt;0,LINData!B43,""),"")</f>
        <v/>
      </c>
      <c r="D33" s="123" t="str">
        <f>IF(LINData!B43&gt;0,IF(LINData!C43&gt;0,LINData!C43,""),"")</f>
        <v/>
      </c>
      <c r="E33" s="129" t="str">
        <f t="shared" si="1"/>
        <v/>
      </c>
      <c r="F33" s="130" t="str">
        <f t="shared" si="2"/>
        <v/>
      </c>
      <c r="G33" s="125" t="str">
        <f t="shared" si="3"/>
        <v/>
      </c>
      <c r="H33" s="125" t="str">
        <f t="shared" si="4"/>
        <v/>
      </c>
    </row>
    <row r="34" spans="1:8" ht="14.4" x14ac:dyDescent="0.3">
      <c r="A34"/>
    </row>
  </sheetData>
  <sheetProtection formatCells="0"/>
  <sortState xmlns:xlrd2="http://schemas.microsoft.com/office/spreadsheetml/2017/richdata2" ref="V14:AG14">
    <sortCondition ref="V14"/>
  </sortState>
  <mergeCells count="3">
    <mergeCell ref="A1:H1"/>
    <mergeCell ref="J29:K29"/>
    <mergeCell ref="L29:M29"/>
  </mergeCells>
  <phoneticPr fontId="19" type="noConversion"/>
  <pageMargins left="0.53" right="0.51" top="1" bottom="1" header="0.5" footer="0.5"/>
  <pageSetup orientation="landscape" horizontalDpi="4294967292"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382AB35-307F-4F4C-B148-44E78A5294BB}">
  <ds:schemaRefs>
    <ds:schemaRef ds:uri="http://tempuri.org/WorkbookMark.xsd"/>
  </ds:schemaRefs>
</ds:datastoreItem>
</file>

<file path=docMetadata/LabelInfo.xml><?xml version="1.0" encoding="utf-8"?>
<clbl:labelList xmlns:clbl="http://schemas.microsoft.com/office/2020/mipLabelMetadata">
  <clbl:label id="{0030812d-e9d4-4fc4-9381-e31b4fa8e864}" enabled="0" method="" siteId="{0030812d-e9d4-4fc4-9381-e31b4fa8e86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FRData</vt:lpstr>
      <vt:lpstr>LINData</vt:lpstr>
      <vt:lpstr>Route Creator</vt:lpstr>
      <vt:lpstr>Vib Analyzer Data</vt:lpstr>
      <vt:lpstr>FRCert</vt:lpstr>
      <vt:lpstr>LINCert</vt:lpstr>
      <vt:lpstr>SLINCert</vt:lpstr>
      <vt:lpstr>FRRaw</vt:lpstr>
      <vt:lpstr>LINRaw</vt:lpstr>
      <vt:lpstr>Vib Analyzer Cert</vt:lpstr>
      <vt:lpstr>VersionInfo</vt:lpstr>
      <vt:lpstr>RouteRaw</vt:lpstr>
      <vt:lpstr>Linfit Worksheet</vt:lpstr>
      <vt:lpstr>Acceleration</vt:lpstr>
      <vt:lpstr>Displacement</vt:lpstr>
      <vt:lpstr>DLinMeasureRangeUnit</vt:lpstr>
      <vt:lpstr>MinAmplitude</vt:lpstr>
      <vt:lpstr>MinAmpXaxis</vt:lpstr>
      <vt:lpstr>MinfreqXaxis</vt:lpstr>
      <vt:lpstr>FRCert!Print_Area</vt:lpstr>
      <vt:lpstr>LINCert!Print_Area</vt:lpstr>
      <vt:lpstr>'Route Creator'!Print_Area</vt:lpstr>
      <vt:lpstr>SLINCert!Print_Area</vt:lpstr>
      <vt:lpstr>'Vib Analyzer Cert'!Print_Area</vt:lpstr>
      <vt:lpstr>pvc_route</vt:lpstr>
      <vt:lpstr>PVCFWVers</vt:lpstr>
      <vt:lpstr>RouteType</vt:lpstr>
      <vt:lpstr>SensUnits</vt:lpstr>
      <vt:lpstr>SLinMeasureRangeUnit</vt:lpstr>
      <vt:lpstr>TypeOfMotion</vt:lpstr>
      <vt:lpstr>Velocity</vt:lpstr>
      <vt:lpstr>VibeUnits</vt:lpstr>
      <vt:lpstr>VorI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HI-903 PRO Report Generation Workbook</dc:title>
  <dc:subject>Version 3.2.0</dc:subject>
  <dc:creator>Sullivan, Joseph</dc:creator>
  <dc:description>Version 1.0.4</dc:description>
  <cp:lastModifiedBy>Li, Barret</cp:lastModifiedBy>
  <cp:lastPrinted>2018-05-07T17:43:26Z</cp:lastPrinted>
  <dcterms:created xsi:type="dcterms:W3CDTF">2010-02-01T22:45:06Z</dcterms:created>
  <dcterms:modified xsi:type="dcterms:W3CDTF">2026-04-17T03:39:04Z</dcterms:modified>
</cp:coreProperties>
</file>